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5df28b8e9ecf7e3/Desktop/"/>
    </mc:Choice>
  </mc:AlternateContent>
  <xr:revisionPtr revIDLastSave="2" documentId="11_F4416332DB172572E53FEE78421CA1572A466F84" xr6:coauthVersionLast="47" xr6:coauthVersionMax="47" xr10:uidLastSave="{208D20AA-F23B-4EA6-BAF6-87A967F9415A}"/>
  <bookViews>
    <workbookView xWindow="28680" yWindow="-30" windowWidth="29040" windowHeight="15720" tabRatio="500" xr2:uid="{00000000-000D-0000-FFFF-FFFF00000000}"/>
  </bookViews>
  <sheets>
    <sheet name="Início" sheetId="1" r:id="rId1"/>
    <sheet name="Categorias" sheetId="2" r:id="rId2"/>
    <sheet name="Resumo" sheetId="3" r:id="rId3"/>
    <sheet name="Recomendações" sheetId="4" r:id="rId4"/>
  </sheets>
  <definedNames>
    <definedName name="Ano">Categorias!$C$4</definedName>
    <definedName name="Limite">Categorias!$H$4</definedName>
    <definedName name="_xlnm.Print_Titles" localSheetId="1">Categorias!$6:$6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0" i="4" l="1"/>
  <c r="K10" i="4" s="1"/>
  <c r="B2" i="4"/>
  <c r="E26" i="3"/>
  <c r="E18" i="3"/>
  <c r="E17" i="3"/>
  <c r="A2" i="3"/>
  <c r="N56" i="2"/>
  <c r="M56" i="2"/>
  <c r="E25" i="3" s="1"/>
  <c r="L56" i="2"/>
  <c r="E24" i="3" s="1"/>
  <c r="K56" i="2"/>
  <c r="E23" i="3" s="1"/>
  <c r="J56" i="2"/>
  <c r="E22" i="3" s="1"/>
  <c r="I56" i="2"/>
  <c r="E21" i="3" s="1"/>
  <c r="H56" i="2"/>
  <c r="E20" i="3" s="1"/>
  <c r="G56" i="2"/>
  <c r="E19" i="3" s="1"/>
  <c r="F56" i="2"/>
  <c r="E56" i="2"/>
  <c r="D56" i="2"/>
  <c r="E16" i="3" s="1"/>
  <c r="C56" i="2"/>
  <c r="E15" i="3" s="1"/>
  <c r="Q55" i="2"/>
  <c r="O55" i="2"/>
  <c r="O54" i="2"/>
  <c r="Q54" i="2" s="1"/>
  <c r="O53" i="2"/>
  <c r="Q53" i="2" s="1"/>
  <c r="Q52" i="2"/>
  <c r="O52" i="2"/>
  <c r="Q51" i="2"/>
  <c r="O51" i="2"/>
  <c r="Q50" i="2"/>
  <c r="O50" i="2"/>
  <c r="Q49" i="2"/>
  <c r="O49" i="2"/>
  <c r="O48" i="2"/>
  <c r="Q48" i="2" s="1"/>
  <c r="O47" i="2"/>
  <c r="Q47" i="2" s="1"/>
  <c r="Q46" i="2"/>
  <c r="O46" i="2"/>
  <c r="Q45" i="2"/>
  <c r="O45" i="2"/>
  <c r="Q44" i="2"/>
  <c r="O44" i="2"/>
  <c r="C42" i="2"/>
  <c r="D15" i="3" s="1"/>
  <c r="E41" i="2"/>
  <c r="F41" i="2" s="1"/>
  <c r="D41" i="2"/>
  <c r="D40" i="2"/>
  <c r="E40" i="2" s="1"/>
  <c r="D39" i="2"/>
  <c r="E39" i="2" s="1"/>
  <c r="D38" i="2"/>
  <c r="O37" i="2"/>
  <c r="Q37" i="2" s="1"/>
  <c r="E37" i="2"/>
  <c r="F37" i="2" s="1"/>
  <c r="G37" i="2" s="1"/>
  <c r="H37" i="2" s="1"/>
  <c r="I37" i="2" s="1"/>
  <c r="J37" i="2" s="1"/>
  <c r="K37" i="2" s="1"/>
  <c r="L37" i="2" s="1"/>
  <c r="M37" i="2" s="1"/>
  <c r="N37" i="2" s="1"/>
  <c r="D37" i="2"/>
  <c r="D36" i="2"/>
  <c r="E35" i="2"/>
  <c r="D35" i="2"/>
  <c r="D34" i="2"/>
  <c r="E34" i="2" s="1"/>
  <c r="F34" i="2" s="1"/>
  <c r="G34" i="2" s="1"/>
  <c r="H34" i="2" s="1"/>
  <c r="I34" i="2" s="1"/>
  <c r="J34" i="2" s="1"/>
  <c r="K34" i="2" s="1"/>
  <c r="L34" i="2" s="1"/>
  <c r="M34" i="2" s="1"/>
  <c r="N34" i="2" s="1"/>
  <c r="G33" i="2"/>
  <c r="H33" i="2" s="1"/>
  <c r="I33" i="2" s="1"/>
  <c r="J33" i="2" s="1"/>
  <c r="K33" i="2" s="1"/>
  <c r="L33" i="2" s="1"/>
  <c r="M33" i="2" s="1"/>
  <c r="N33" i="2" s="1"/>
  <c r="E33" i="2"/>
  <c r="F33" i="2" s="1"/>
  <c r="D33" i="2"/>
  <c r="H32" i="2"/>
  <c r="I32" i="2" s="1"/>
  <c r="J32" i="2" s="1"/>
  <c r="K32" i="2" s="1"/>
  <c r="L32" i="2" s="1"/>
  <c r="M32" i="2" s="1"/>
  <c r="N32" i="2" s="1"/>
  <c r="D32" i="2"/>
  <c r="E32" i="2" s="1"/>
  <c r="F32" i="2" s="1"/>
  <c r="G32" i="2" s="1"/>
  <c r="E31" i="2"/>
  <c r="F31" i="2" s="1"/>
  <c r="D31" i="2"/>
  <c r="J30" i="2"/>
  <c r="K30" i="2" s="1"/>
  <c r="L30" i="2" s="1"/>
  <c r="M30" i="2" s="1"/>
  <c r="N30" i="2" s="1"/>
  <c r="D30" i="2"/>
  <c r="E30" i="2" s="1"/>
  <c r="F30" i="2" s="1"/>
  <c r="G30" i="2" s="1"/>
  <c r="H30" i="2" s="1"/>
  <c r="I30" i="2" s="1"/>
  <c r="E29" i="2"/>
  <c r="F29" i="2" s="1"/>
  <c r="D29" i="2"/>
  <c r="D28" i="2"/>
  <c r="N24" i="2"/>
  <c r="M24" i="2"/>
  <c r="O24" i="2" s="1"/>
  <c r="L24" i="2"/>
  <c r="K24" i="2"/>
  <c r="J24" i="2"/>
  <c r="I24" i="2"/>
  <c r="H24" i="2"/>
  <c r="G24" i="2"/>
  <c r="F24" i="2"/>
  <c r="E24" i="2"/>
  <c r="D24" i="2"/>
  <c r="C24" i="2"/>
  <c r="O23" i="2"/>
  <c r="O22" i="2"/>
  <c r="O21" i="2"/>
  <c r="O20" i="2"/>
  <c r="O19" i="2"/>
  <c r="O18" i="2"/>
  <c r="O17" i="2"/>
  <c r="O16" i="2"/>
  <c r="C14" i="2"/>
  <c r="E13" i="2"/>
  <c r="F13" i="2" s="1"/>
  <c r="D13" i="2"/>
  <c r="E12" i="2"/>
  <c r="F12" i="2" s="1"/>
  <c r="D12" i="2"/>
  <c r="E11" i="2"/>
  <c r="F11" i="2" s="1"/>
  <c r="D11" i="2"/>
  <c r="E10" i="2"/>
  <c r="F10" i="2" s="1"/>
  <c r="D10" i="2"/>
  <c r="E9" i="2"/>
  <c r="F9" i="2" s="1"/>
  <c r="D9" i="2"/>
  <c r="D8" i="2"/>
  <c r="E8" i="2" s="1"/>
  <c r="F8" i="2" s="1"/>
  <c r="C25" i="2" l="1"/>
  <c r="D14" i="2"/>
  <c r="D25" i="2" s="1"/>
  <c r="C16" i="3" s="1"/>
  <c r="G13" i="2"/>
  <c r="H13" i="2" s="1"/>
  <c r="I13" i="2" s="1"/>
  <c r="J13" i="2" s="1"/>
  <c r="K13" i="2" s="1"/>
  <c r="L13" i="2" s="1"/>
  <c r="M13" i="2" s="1"/>
  <c r="N13" i="2" s="1"/>
  <c r="O13" i="2"/>
  <c r="F40" i="2"/>
  <c r="G40" i="2" s="1"/>
  <c r="H40" i="2" s="1"/>
  <c r="I40" i="2" s="1"/>
  <c r="J40" i="2" s="1"/>
  <c r="K40" i="2" s="1"/>
  <c r="L40" i="2" s="1"/>
  <c r="M40" i="2" s="1"/>
  <c r="N40" i="2" s="1"/>
  <c r="G31" i="2"/>
  <c r="H31" i="2" s="1"/>
  <c r="I31" i="2" s="1"/>
  <c r="J31" i="2" s="1"/>
  <c r="K31" i="2" s="1"/>
  <c r="L31" i="2" s="1"/>
  <c r="M31" i="2" s="1"/>
  <c r="N31" i="2" s="1"/>
  <c r="O31" i="2"/>
  <c r="Q31" i="2" s="1"/>
  <c r="E36" i="2"/>
  <c r="F36" i="2" s="1"/>
  <c r="G36" i="2" s="1"/>
  <c r="H36" i="2" s="1"/>
  <c r="I36" i="2" s="1"/>
  <c r="J36" i="2" s="1"/>
  <c r="K36" i="2" s="1"/>
  <c r="L36" i="2" s="1"/>
  <c r="M36" i="2" s="1"/>
  <c r="N36" i="2" s="1"/>
  <c r="O36" i="2"/>
  <c r="Q36" i="2" s="1"/>
  <c r="G41" i="2"/>
  <c r="H41" i="2" s="1"/>
  <c r="I41" i="2" s="1"/>
  <c r="J41" i="2" s="1"/>
  <c r="K41" i="2" s="1"/>
  <c r="L41" i="2" s="1"/>
  <c r="M41" i="2" s="1"/>
  <c r="N41" i="2" s="1"/>
  <c r="E27" i="3"/>
  <c r="O39" i="2"/>
  <c r="Q39" i="2" s="1"/>
  <c r="F39" i="2"/>
  <c r="G39" i="2" s="1"/>
  <c r="H39" i="2" s="1"/>
  <c r="I39" i="2" s="1"/>
  <c r="J39" i="2" s="1"/>
  <c r="K39" i="2" s="1"/>
  <c r="L39" i="2" s="1"/>
  <c r="M39" i="2" s="1"/>
  <c r="N39" i="2" s="1"/>
  <c r="G9" i="2"/>
  <c r="H9" i="2" s="1"/>
  <c r="I9" i="2" s="1"/>
  <c r="J9" i="2" s="1"/>
  <c r="K9" i="2" s="1"/>
  <c r="L9" i="2" s="1"/>
  <c r="M9" i="2" s="1"/>
  <c r="N9" i="2" s="1"/>
  <c r="O9" i="2"/>
  <c r="G8" i="2"/>
  <c r="F14" i="2"/>
  <c r="F25" i="2" s="1"/>
  <c r="G11" i="2"/>
  <c r="H11" i="2" s="1"/>
  <c r="I11" i="2" s="1"/>
  <c r="J11" i="2" s="1"/>
  <c r="K11" i="2" s="1"/>
  <c r="L11" i="2" s="1"/>
  <c r="M11" i="2" s="1"/>
  <c r="N11" i="2" s="1"/>
  <c r="O11" i="2"/>
  <c r="F35" i="2"/>
  <c r="G35" i="2" s="1"/>
  <c r="H35" i="2" s="1"/>
  <c r="I35" i="2" s="1"/>
  <c r="J35" i="2" s="1"/>
  <c r="K35" i="2" s="1"/>
  <c r="L35" i="2" s="1"/>
  <c r="M35" i="2" s="1"/>
  <c r="N35" i="2" s="1"/>
  <c r="O35" i="2"/>
  <c r="Q35" i="2" s="1"/>
  <c r="D42" i="2"/>
  <c r="G29" i="2"/>
  <c r="H29" i="2" s="1"/>
  <c r="I29" i="2" s="1"/>
  <c r="J29" i="2" s="1"/>
  <c r="K29" i="2" s="1"/>
  <c r="L29" i="2" s="1"/>
  <c r="M29" i="2" s="1"/>
  <c r="N29" i="2" s="1"/>
  <c r="O29" i="2"/>
  <c r="Q29" i="2" s="1"/>
  <c r="C15" i="3"/>
  <c r="G12" i="2"/>
  <c r="H12" i="2" s="1"/>
  <c r="I12" i="2" s="1"/>
  <c r="J12" i="2" s="1"/>
  <c r="K12" i="2" s="1"/>
  <c r="L12" i="2" s="1"/>
  <c r="M12" i="2" s="1"/>
  <c r="N12" i="2" s="1"/>
  <c r="O12" i="2"/>
  <c r="G10" i="2"/>
  <c r="H10" i="2" s="1"/>
  <c r="I10" i="2" s="1"/>
  <c r="J10" i="2" s="1"/>
  <c r="K10" i="2" s="1"/>
  <c r="L10" i="2" s="1"/>
  <c r="M10" i="2" s="1"/>
  <c r="N10" i="2" s="1"/>
  <c r="O33" i="2"/>
  <c r="Q33" i="2" s="1"/>
  <c r="E38" i="2"/>
  <c r="F38" i="2" s="1"/>
  <c r="G38" i="2" s="1"/>
  <c r="H38" i="2" s="1"/>
  <c r="I38" i="2" s="1"/>
  <c r="J38" i="2" s="1"/>
  <c r="K38" i="2" s="1"/>
  <c r="L38" i="2" s="1"/>
  <c r="M38" i="2" s="1"/>
  <c r="N38" i="2" s="1"/>
  <c r="E28" i="2"/>
  <c r="O30" i="2"/>
  <c r="Q30" i="2" s="1"/>
  <c r="J11" i="4"/>
  <c r="K11" i="4" s="1"/>
  <c r="E14" i="2"/>
  <c r="E25" i="2" s="1"/>
  <c r="O32" i="2"/>
  <c r="Q32" i="2" s="1"/>
  <c r="O56" i="2"/>
  <c r="O34" i="2"/>
  <c r="Q34" i="2" s="1"/>
  <c r="C57" i="2"/>
  <c r="C59" i="2" s="1"/>
  <c r="O41" i="2" l="1"/>
  <c r="Q41" i="2" s="1"/>
  <c r="C18" i="3"/>
  <c r="J12" i="4"/>
  <c r="K12" i="4" s="1"/>
  <c r="F28" i="2"/>
  <c r="E42" i="2"/>
  <c r="O40" i="2"/>
  <c r="Q40" i="2" s="1"/>
  <c r="O38" i="2"/>
  <c r="Q38" i="2" s="1"/>
  <c r="G14" i="2"/>
  <c r="G25" i="2" s="1"/>
  <c r="H8" i="2"/>
  <c r="F15" i="3"/>
  <c r="C17" i="3"/>
  <c r="D57" i="2"/>
  <c r="D16" i="3"/>
  <c r="O10" i="2"/>
  <c r="E57" i="2" l="1"/>
  <c r="D17" i="3"/>
  <c r="J13" i="4"/>
  <c r="K13" i="4" s="1"/>
  <c r="F42" i="2"/>
  <c r="G28" i="2"/>
  <c r="H14" i="2"/>
  <c r="H25" i="2" s="1"/>
  <c r="I8" i="2"/>
  <c r="C19" i="3"/>
  <c r="G15" i="3"/>
  <c r="F16" i="3"/>
  <c r="D59" i="2"/>
  <c r="H15" i="3"/>
  <c r="H16" i="3" l="1"/>
  <c r="E11" i="4" s="1"/>
  <c r="G16" i="3"/>
  <c r="L15" i="3"/>
  <c r="D10" i="4"/>
  <c r="K15" i="3"/>
  <c r="I14" i="2"/>
  <c r="I25" i="2" s="1"/>
  <c r="J8" i="2"/>
  <c r="G42" i="2"/>
  <c r="H28" i="2"/>
  <c r="J14" i="4"/>
  <c r="K14" i="4" s="1"/>
  <c r="C20" i="3"/>
  <c r="D18" i="3"/>
  <c r="F57" i="2"/>
  <c r="I15" i="3"/>
  <c r="E10" i="4"/>
  <c r="F17" i="3"/>
  <c r="E59" i="2"/>
  <c r="D19" i="3" l="1"/>
  <c r="G57" i="2"/>
  <c r="J14" i="2"/>
  <c r="J25" i="2" s="1"/>
  <c r="K8" i="2"/>
  <c r="F18" i="3"/>
  <c r="F59" i="2"/>
  <c r="C10" i="4"/>
  <c r="C21" i="3"/>
  <c r="H17" i="3"/>
  <c r="G17" i="3"/>
  <c r="I17" i="3" s="1"/>
  <c r="C12" i="4" s="1"/>
  <c r="L16" i="3"/>
  <c r="K16" i="3"/>
  <c r="D11" i="4"/>
  <c r="J15" i="4"/>
  <c r="K15" i="4" s="1"/>
  <c r="H42" i="2"/>
  <c r="I28" i="2"/>
  <c r="I16" i="3"/>
  <c r="C11" i="4" s="1"/>
  <c r="F11" i="4" l="1"/>
  <c r="H11" i="4"/>
  <c r="G11" i="4"/>
  <c r="L17" i="3"/>
  <c r="K17" i="3"/>
  <c r="D12" i="4"/>
  <c r="C22" i="3"/>
  <c r="E12" i="4"/>
  <c r="H12" i="4" s="1"/>
  <c r="K14" i="2"/>
  <c r="K25" i="2" s="1"/>
  <c r="L8" i="2"/>
  <c r="F19" i="3"/>
  <c r="G59" i="2"/>
  <c r="H18" i="3"/>
  <c r="E13" i="4" s="1"/>
  <c r="G18" i="3"/>
  <c r="J28" i="2"/>
  <c r="J16" i="4"/>
  <c r="K16" i="4" s="1"/>
  <c r="I42" i="2"/>
  <c r="H57" i="2"/>
  <c r="D20" i="3"/>
  <c r="H10" i="4"/>
  <c r="G10" i="4"/>
  <c r="F10" i="4"/>
  <c r="F12" i="4" l="1"/>
  <c r="L18" i="3"/>
  <c r="K18" i="3"/>
  <c r="D13" i="4"/>
  <c r="H19" i="3"/>
  <c r="E14" i="4" s="1"/>
  <c r="G19" i="3"/>
  <c r="I19" i="3"/>
  <c r="C14" i="4" s="1"/>
  <c r="L14" i="2"/>
  <c r="L25" i="2" s="1"/>
  <c r="M8" i="2"/>
  <c r="C23" i="3"/>
  <c r="F20" i="3"/>
  <c r="H59" i="2"/>
  <c r="I57" i="2"/>
  <c r="D21" i="3"/>
  <c r="G12" i="4"/>
  <c r="J42" i="2"/>
  <c r="K28" i="2"/>
  <c r="J17" i="4"/>
  <c r="K17" i="4" s="1"/>
  <c r="I18" i="3"/>
  <c r="G14" i="4" l="1"/>
  <c r="H14" i="4"/>
  <c r="K42" i="2"/>
  <c r="J18" i="4"/>
  <c r="K18" i="4" s="1"/>
  <c r="L28" i="2"/>
  <c r="D14" i="4"/>
  <c r="F14" i="4" s="1"/>
  <c r="L19" i="3"/>
  <c r="K19" i="3"/>
  <c r="C13" i="4"/>
  <c r="C24" i="3"/>
  <c r="N8" i="2"/>
  <c r="M14" i="2"/>
  <c r="M25" i="2" s="1"/>
  <c r="D22" i="3"/>
  <c r="J57" i="2"/>
  <c r="F21" i="3"/>
  <c r="I59" i="2"/>
  <c r="G20" i="3"/>
  <c r="I20" i="3"/>
  <c r="C15" i="4" s="1"/>
  <c r="H20" i="3"/>
  <c r="E15" i="4" s="1"/>
  <c r="H13" i="4" l="1"/>
  <c r="G13" i="4"/>
  <c r="F13" i="4"/>
  <c r="N14" i="2"/>
  <c r="O8" i="2"/>
  <c r="F22" i="3"/>
  <c r="J59" i="2"/>
  <c r="C25" i="3"/>
  <c r="H15" i="4"/>
  <c r="G15" i="4"/>
  <c r="L20" i="3"/>
  <c r="K20" i="3"/>
  <c r="D15" i="4"/>
  <c r="F15" i="4" s="1"/>
  <c r="M28" i="2"/>
  <c r="L42" i="2"/>
  <c r="J19" i="4"/>
  <c r="K19" i="4" s="1"/>
  <c r="H21" i="3"/>
  <c r="E16" i="4" s="1"/>
  <c r="G21" i="3"/>
  <c r="K57" i="2"/>
  <c r="D23" i="3"/>
  <c r="M42" i="2" l="1"/>
  <c r="J20" i="4"/>
  <c r="K20" i="4" s="1"/>
  <c r="N28" i="2"/>
  <c r="H22" i="3"/>
  <c r="E17" i="4" s="1"/>
  <c r="G22" i="3"/>
  <c r="I22" i="3" s="1"/>
  <c r="C17" i="4" s="1"/>
  <c r="N25" i="2"/>
  <c r="O14" i="2"/>
  <c r="D24" i="3"/>
  <c r="L57" i="2"/>
  <c r="F23" i="3"/>
  <c r="K59" i="2"/>
  <c r="L21" i="3"/>
  <c r="K21" i="3"/>
  <c r="D16" i="4"/>
  <c r="I21" i="3"/>
  <c r="G17" i="4" l="1"/>
  <c r="H17" i="4"/>
  <c r="C26" i="3"/>
  <c r="O25" i="2"/>
  <c r="F24" i="3"/>
  <c r="L59" i="2"/>
  <c r="J21" i="4"/>
  <c r="K21" i="4" s="1"/>
  <c r="N42" i="2"/>
  <c r="O28" i="2"/>
  <c r="Q28" i="2" s="1"/>
  <c r="C16" i="4"/>
  <c r="D17" i="4"/>
  <c r="F17" i="4" s="1"/>
  <c r="L22" i="3"/>
  <c r="K22" i="3"/>
  <c r="H23" i="3"/>
  <c r="E18" i="4" s="1"/>
  <c r="G23" i="3"/>
  <c r="I23" i="3" s="1"/>
  <c r="M57" i="2"/>
  <c r="D25" i="3"/>
  <c r="C18" i="4" l="1"/>
  <c r="H16" i="4"/>
  <c r="G16" i="4"/>
  <c r="F16" i="4"/>
  <c r="B34" i="3"/>
  <c r="B33" i="3"/>
  <c r="B36" i="3"/>
  <c r="B32" i="3"/>
  <c r="B35" i="3"/>
  <c r="B31" i="3"/>
  <c r="D26" i="3"/>
  <c r="D27" i="3" s="1"/>
  <c r="N57" i="2"/>
  <c r="O42" i="2"/>
  <c r="D18" i="4"/>
  <c r="L23" i="3"/>
  <c r="K23" i="3"/>
  <c r="H24" i="3"/>
  <c r="E19" i="4" s="1"/>
  <c r="G24" i="3"/>
  <c r="C27" i="3"/>
  <c r="F25" i="3"/>
  <c r="M59" i="2"/>
  <c r="L24" i="3" l="1"/>
  <c r="K24" i="3"/>
  <c r="D19" i="4"/>
  <c r="E34" i="3"/>
  <c r="G25" i="3"/>
  <c r="I25" i="3" s="1"/>
  <c r="C20" i="4" s="1"/>
  <c r="H25" i="3"/>
  <c r="E20" i="4" s="1"/>
  <c r="F26" i="3"/>
  <c r="O57" i="2"/>
  <c r="N59" i="2"/>
  <c r="O59" i="2" s="1"/>
  <c r="E31" i="3"/>
  <c r="E33" i="3"/>
  <c r="B5" i="3"/>
  <c r="E32" i="3"/>
  <c r="E35" i="3"/>
  <c r="I24" i="3"/>
  <c r="E36" i="3"/>
  <c r="H18" i="4"/>
  <c r="G18" i="4"/>
  <c r="F18" i="4"/>
  <c r="G20" i="4" l="1"/>
  <c r="H20" i="4"/>
  <c r="F27" i="3"/>
  <c r="H26" i="3"/>
  <c r="G26" i="3"/>
  <c r="I26" i="3" s="1"/>
  <c r="D20" i="4"/>
  <c r="F20" i="4" s="1"/>
  <c r="L25" i="3"/>
  <c r="K25" i="3"/>
  <c r="C19" i="4"/>
  <c r="C21" i="4" l="1"/>
  <c r="H21" i="4" s="1"/>
  <c r="I8" i="3"/>
  <c r="I9" i="3"/>
  <c r="D5" i="4"/>
  <c r="D6" i="4"/>
  <c r="H19" i="4"/>
  <c r="G19" i="4"/>
  <c r="F19" i="4"/>
  <c r="D21" i="4"/>
  <c r="L26" i="3"/>
  <c r="K26" i="3"/>
  <c r="G27" i="3"/>
  <c r="F5" i="3" s="1"/>
  <c r="E21" i="4"/>
  <c r="E9" i="3"/>
  <c r="D5" i="3"/>
  <c r="F33" i="3"/>
  <c r="F36" i="3"/>
  <c r="H27" i="3"/>
  <c r="H5" i="3" s="1"/>
  <c r="F34" i="3"/>
  <c r="D4" i="4"/>
  <c r="E7" i="3"/>
  <c r="E8" i="3"/>
  <c r="F32" i="3"/>
  <c r="F31" i="3"/>
  <c r="F35" i="3"/>
  <c r="I7" i="3"/>
  <c r="D7" i="4"/>
  <c r="F21" i="4" l="1"/>
  <c r="G21" i="4"/>
  <c r="I27" i="3"/>
</calcChain>
</file>

<file path=xl/sharedStrings.xml><?xml version="1.0" encoding="utf-8"?>
<sst xmlns="http://schemas.openxmlformats.org/spreadsheetml/2006/main" count="178" uniqueCount="148">
  <si>
    <t>ACURATTA CONSULTORIA</t>
  </si>
  <si>
    <t>Controle Financeiro Pessoal</t>
  </si>
  <si>
    <t>Organize suas finanças, mês a mês</t>
  </si>
  <si>
    <t>Esta planilha gratuita ajuda você a registrar receitas e despesas e a enxergar, mês a mês, quanto sobra ou falta, com recomendações para cada situação. Não é preciso saber contabilidade nem mexer em fórmulas.</t>
  </si>
  <si>
    <t>Como usar em 3 passos</t>
  </si>
  <si>
    <t>1</t>
  </si>
  <si>
    <t>Categorias: informe o ano e preencha suas receitas e despesas nos campos amarelos, mês a mês.</t>
  </si>
  <si>
    <t>2</t>
  </si>
  <si>
    <t>Resumo: veja o saldo de cada mês, a renda comprometida, os meses de atenção, as maiores despesas e os gráficos. Tudo se atualiza sozinho.</t>
  </si>
  <si>
    <t>3</t>
  </si>
  <si>
    <t>Recomendações: leia o diagnóstico, a recomendação e a dica automática de cada mês.</t>
  </si>
  <si>
    <t>Como lançar em Categorias</t>
  </si>
  <si>
    <t>Receitas e despesas FIXAS (salário, aluguel, condomínio, streaming): digite o valor no primeiro mês. Os meses seguintes se repetem sozinhos (células verde-claro).</t>
  </si>
  <si>
    <t>Começou depois de janeiro? Digite o valor no mês em que começou. Mudou o valor (reajuste)? Digite o novo valor naquele mês. Acabou? Digite 0 no mês em que parou.</t>
  </si>
  <si>
    <t>Receitas e despesas VARIÁVEIS (extras, cartão de crédito, mercado, lazer): digite o valor de cada mês.</t>
  </si>
  <si>
    <t>Precisa de outro item? Renomeie uma linha livre ('Outra despesa fixa 1', por exemplo) escrevendo por cima do nome.</t>
  </si>
  <si>
    <t>Cartão de crédito: lance a fatura do mês OU as compras por categoria, nunca os dois, para não contar em dobro.</t>
  </si>
  <si>
    <t>Legenda</t>
  </si>
  <si>
    <t>Campo para preencher (letra azul, fundo amarelo)</t>
  </si>
  <si>
    <t>Repete o mês anterior (você pode digitar por cima para alterar)</t>
  </si>
  <si>
    <t>Cálculo automático (protegido, não precisa mexer)</t>
  </si>
  <si>
    <t>Observações importantes</t>
  </si>
  <si>
    <t>As abas têm proteção SEM senha, apenas para evitar alterações acidentais nas fórmulas (Revisão &gt; Desproteger Planilha).</t>
  </si>
  <si>
    <t>Seus dados ficam somente no seu computador. Faça cópias de segurança do arquivo com frequência.</t>
  </si>
  <si>
    <t>Os valores de exemplo em Categorias são fictícios: substitua pelos seus ou apague antes de começar.</t>
  </si>
  <si>
    <t>Ferramenta educativa e gratuita. As recomendações são orientações gerais e não substituem a orientação de um profissional.</t>
  </si>
  <si>
    <t>Acuratta</t>
  </si>
  <si>
    <t>Contabilidade, auditoria e compliance, com a proximidade de quem está em Campo Grande/MS.</t>
  </si>
  <si>
    <t>WhatsApp (67) 9161-4141   |   contato@acuratta.com   |   @acurattacontabilidade   |   acuratta.com</t>
  </si>
  <si>
    <t>Versão 2.0 · Outubro/2026</t>
  </si>
  <si>
    <t>Categorias: seus lançamentos do ano</t>
  </si>
  <si>
    <t>Preencha os campos amarelos. FIXAS (receitas e despesas): digite o valor no primeiro mês; os meses seguintes se repetem sozinhos (verde-claro). VARIÁVEIS: digite mês a mês. Você pode renomear qualquer item na coluna B.</t>
  </si>
  <si>
    <t>Mudou o valor de uma fixa (reajuste)? Digite o novo valor naquele mês e os seguintes acompanham. Acabou? Digite 0 no mês em que parou. Cartão de crédito: lance a fatura OU as compras por categoria, nunca os dois.</t>
  </si>
  <si>
    <t>Ano de referência</t>
  </si>
  <si>
    <t>Alerta de renda comprometida a partir de</t>
  </si>
  <si>
    <t>Item (você pode renomear)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</si>
  <si>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</si>
  <si>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</si>
  <si>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</si>
  <si>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</si>
  <si>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</si>
  <si>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</si>
  <si>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</si>
  <si>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</si>
  <si>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</si>
  <si>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</si>
  <si>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</si>
  <si>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</si>
  <si>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 no ano</t>
  </si>
  <si>
    <t>RECEITAS FIXAS (repetem todo mês a partir do mês em que você lançar)</t>
  </si>
  <si>
    <t>Salário</t>
  </si>
  <si>
    <t>Aposentadoria ou benefício</t>
  </si>
  <si>
    <t>Aluguéis recebidos</t>
  </si>
  <si>
    <t>Outra receita fixa 1</t>
  </si>
  <si>
    <t>Outra receita fixa 2</t>
  </si>
  <si>
    <t>Outra receita fixa 3</t>
  </si>
  <si>
    <t>Total de receitas fixas</t>
  </si>
  <si>
    <t>RECEITAS VARIÁVEIS (digite mês a mês)</t>
  </si>
  <si>
    <t>13º salário</t>
  </si>
  <si>
    <t>Férias</t>
  </si>
  <si>
    <t>Bônus e participação nos lucros</t>
  </si>
  <si>
    <t>Serviços e trabalhos extras</t>
  </si>
  <si>
    <t>Rendimentos de investimentos</t>
  </si>
  <si>
    <t>Comissões</t>
  </si>
  <si>
    <t>Outra receita variável 1</t>
  </si>
  <si>
    <t>Outra receita variável 2</t>
  </si>
  <si>
    <t>Total de receitas variáveis</t>
  </si>
  <si>
    <t>TOTAL DE RECEITAS</t>
  </si>
  <si>
    <t>DESPESAS FIXAS (repetem todo mês a partir do mês em que você lançar)</t>
  </si>
  <si>
    <t>Aluguel ou financiamento do imóvel</t>
  </si>
  <si>
    <t>Condomínio</t>
  </si>
  <si>
    <t>Internet e telefone</t>
  </si>
  <si>
    <t>Plano de saúde</t>
  </si>
  <si>
    <t>Escola ou faculdade</t>
  </si>
  <si>
    <t>Seguros</t>
  </si>
  <si>
    <t>Financiamento de veículo</t>
  </si>
  <si>
    <t>Streaming de vídeo</t>
  </si>
  <si>
    <t>Streaming de música</t>
  </si>
  <si>
    <t>Assinaturas diversas</t>
  </si>
  <si>
    <t>Outra despesa fixa 1</t>
  </si>
  <si>
    <t>Outra despesa fixa 2</t>
  </si>
  <si>
    <t>Outra despesa fixa 3</t>
  </si>
  <si>
    <t>Outra despesa fixa 4</t>
  </si>
  <si>
    <t>Total de despesas fixas</t>
  </si>
  <si>
    <t>DESPESAS VARIÁVEIS (digite mês a mês)</t>
  </si>
  <si>
    <t>Cartão de crédito (fatura)</t>
  </si>
  <si>
    <t>Alimentação e mercado</t>
  </si>
  <si>
    <t>Contas de consumo (luz, água, gás)</t>
  </si>
  <si>
    <t>Transporte e combustível</t>
  </si>
  <si>
    <t>Saúde e farmácia</t>
  </si>
  <si>
    <t>Lazer e restaurantes</t>
  </si>
  <si>
    <t>Compras e vestuário</t>
  </si>
  <si>
    <t>Manutenção e reparos</t>
  </si>
  <si>
    <t>Outra despesa variável 1</t>
  </si>
  <si>
    <t>Outra despesa variável 2</t>
  </si>
  <si>
    <t>Outra despesa variável 3</t>
  </si>
  <si>
    <t>Outra despesa variável 4</t>
  </si>
  <si>
    <t>Total de despesas variáveis</t>
  </si>
  <si>
    <t>TOTAL DE DESPESAS</t>
  </si>
  <si>
    <t>SALDO DO MÊS (receitas − despesas)</t>
  </si>
  <si>
    <t>Resumo financeiro</t>
  </si>
  <si>
    <t>Receitas no ano</t>
  </si>
  <si>
    <t>Despesas no ano</t>
  </si>
  <si>
    <t>Saldo no ano</t>
  </si>
  <si>
    <t>Renda comprometida no ano</t>
  </si>
  <si>
    <t>Maior disponibilidade (maior saldo)</t>
  </si>
  <si>
    <t>Meses em déficit</t>
  </si>
  <si>
    <t>Menor saldo (exige mais atenção)</t>
  </si>
  <si>
    <t>Meses em atenção</t>
  </si>
  <si>
    <t>Maior renda comprometida</t>
  </si>
  <si>
    <t>Meses sem movimentação</t>
  </si>
  <si>
    <t>Evolução mensal</t>
  </si>
  <si>
    <t>Nº</t>
  </si>
  <si>
    <t>Mês</t>
  </si>
  <si>
    <t>Receitas</t>
  </si>
  <si>
    <t>Despesas fixas</t>
  </si>
  <si>
    <t>Despesas variáveis</t>
  </si>
  <si>
    <t>Total de despesas</t>
  </si>
  <si>
    <t>Saldo do mês</t>
  </si>
  <si>
    <t>% da renda comprometida</t>
  </si>
  <si>
    <t>Situação</t>
  </si>
  <si>
    <t>Saldo positivo</t>
  </si>
  <si>
    <t>Saldo negativo</t>
  </si>
  <si>
    <t>Ano</t>
  </si>
  <si>
    <t>Onde seu dinheiro mais vai (6 maiores despesas do ano)</t>
  </si>
  <si>
    <t>Pos.</t>
  </si>
  <si>
    <t>Despesa</t>
  </si>
  <si>
    <t>% das despesas</t>
  </si>
  <si>
    <t>Gráficos</t>
  </si>
  <si>
    <t>Recomendações e dicas</t>
  </si>
  <si>
    <t>Panorama do ano</t>
  </si>
  <si>
    <t>Prioridade</t>
  </si>
  <si>
    <t>Saldo</t>
  </si>
  <si>
    <t>Observação</t>
  </si>
  <si>
    <t>Recomendação</t>
  </si>
  <si>
    <t>Dica</t>
  </si>
  <si>
    <t>Guia rápido para melhorar seu orçamento</t>
  </si>
  <si>
    <t>Se o mês fecha no vermelho (déficit)</t>
  </si>
  <si>
    <t>• Liste as dívidas com juros e ataque primeiro a de juros mais altos (em geral rotativo do cartão e cheque especial); depois negocie as demais, pedindo desconto e prazo maior.</t>
  </si>
  <si>
    <t>• Veja o que mais pesa: consulte as 6 maiores despesas no Resumo e corte, troque ou renegocie os maiores itens.</t>
  </si>
  <si>
    <t>• Reduza gastos variáveis por um período definido e acompanhe mês a mês na aba Categorias.</t>
  </si>
  <si>
    <t>• Aumente a renda: segunda fonte ligada à sua atuação e conhecimento, trabalhos avulsos, venda de itens sem uso.</t>
  </si>
  <si>
    <t>Se o mês fecha no limite (atenção)</t>
  </si>
  <si>
    <t>• Evite novas parcelas e compromissos fixos; revise assinaturas, planos e seguros; compare preços antes de renovar contratos.</t>
  </si>
  <si>
    <t>Se sobra dinheiro</t>
  </si>
  <si>
    <t>• Monte a reserva de emergência primeiro (meta usual: 3 a 6 meses de despesas). Depois quite dívidas com juros e só então invista com objetivo e prazo definidos.</t>
  </si>
  <si>
    <t>Em qualquer situação</t>
  </si>
  <si>
    <t>• Lance tudo, inclusive pequenos gastos, e revise a planilha todo mês. No cartão de crédito, lance a fatura OU as compras por categoria, nunca os dois.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</si>
</sst>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;&quot;-R$ &quot;#,##0.00;\–"/>
    <numFmt numFmtId="165" formatCode="&quot;R$ &quot;#,##0.00"/>
    <numFmt numFmtId="166" formatCode="0.0%"/>
  </numFmts>
  <fonts count="26" x14ac:knownFonts="1">
    <font>
      <sz val="11"/>
      <color theme="1"/>
      <name val="Calibri"/>
      <family val="2"/>
      <charset val="1"/>
    </font>
    <font>
      <b/>
      <sz val="10"/>
      <color rgb="FFE8F3EC"/>
      <name val="Arial"/>
      <charset val="1"/>
    </font>
    <font>
      <b/>
      <sz val="22"/>
      <color rgb="FFFFFFFF"/>
      <name val="Arial"/>
      <charset val="1"/>
    </font>
    <font>
      <b/>
      <sz val="13"/>
      <color rgb="FF1B4332"/>
      <name val="Arial"/>
      <charset val="1"/>
    </font>
    <font>
      <sz val="10"/>
      <color rgb="FF1F2937"/>
      <name val="Arial"/>
      <charset val="1"/>
    </font>
    <font>
      <b/>
      <sz val="11"/>
      <color rgb="FFFFFFFF"/>
      <name val="Arial"/>
      <charset val="1"/>
    </font>
    <font>
      <b/>
      <sz val="12"/>
      <color rgb="FF1B4332"/>
      <name val="Arial"/>
      <charset val="1"/>
    </font>
    <font>
      <sz val="10"/>
      <color rgb="FF0000FF"/>
      <name val="Arial"/>
      <charset val="1"/>
    </font>
    <font>
      <b/>
      <sz val="10"/>
      <color rgb="FF1B4332"/>
      <name val="Arial"/>
      <charset val="1"/>
    </font>
    <font>
      <i/>
      <sz val="8"/>
      <color rgb="FF6B7280"/>
      <name val="Arial"/>
      <charset val="1"/>
    </font>
    <font>
      <b/>
      <sz val="16"/>
      <color rgb="FFFFFFFF"/>
      <name val="Arial"/>
      <charset val="1"/>
    </font>
    <font>
      <sz val="9"/>
      <color rgb="FF1F2937"/>
      <name val="Arial"/>
      <charset val="1"/>
    </font>
    <font>
      <i/>
      <sz val="9"/>
      <color rgb="FF6B7280"/>
      <name val="Arial"/>
      <charset val="1"/>
    </font>
    <font>
      <b/>
      <sz val="10"/>
      <color rgb="FF1F2937"/>
      <name val="Arial"/>
      <charset val="1"/>
    </font>
    <font>
      <b/>
      <sz val="10"/>
      <color rgb="FF0000FF"/>
      <name val="Arial"/>
      <charset val="1"/>
    </font>
    <font>
      <b/>
      <sz val="9"/>
      <color rgb="FF1F2937"/>
      <name val="Arial"/>
      <charset val="1"/>
    </font>
    <font>
      <b/>
      <sz val="9"/>
      <color rgb="FFFFFFFF"/>
      <name val="Arial"/>
      <charset val="1"/>
    </font>
    <font>
      <b/>
      <sz val="10"/>
      <color rgb="FFFFFFFF"/>
      <name val="Arial"/>
      <charset val="1"/>
    </font>
    <font>
      <sz val="8"/>
      <color rgb="FF6B7280"/>
      <name val="Arial"/>
      <charset val="1"/>
    </font>
    <font>
      <b/>
      <sz val="18"/>
      <color rgb="FFFFFFFF"/>
      <name val="Arial"/>
      <charset val="1"/>
    </font>
    <font>
      <sz val="9"/>
      <color rgb="FFFFFFFF"/>
      <name val="Arial"/>
      <charset val="1"/>
    </font>
    <font>
      <b/>
      <sz val="9"/>
      <color rgb="FF6B7280"/>
      <name val="Arial"/>
      <charset val="1"/>
    </font>
    <font>
      <b/>
      <sz val="15"/>
      <color rgb="FF1B4332"/>
      <name val="Arial"/>
      <charset val="1"/>
    </font>
    <font>
      <sz val="9"/>
      <color rgb="FF6B7280"/>
      <name val="Arial"/>
      <charset val="1"/>
    </font>
    <font>
      <b/>
      <sz val="11"/>
      <color rgb="FF1F2937"/>
      <name val="Arial"/>
      <charset val="1"/>
    </font>
    <font>
      <i/>
      <sz val="10"/>
      <color rgb="FF6B7280"/>
      <name val="Arial"/>
      <charset val="1"/>
    </font>
  </fonts>
  <fills count="9">
    <fill>
      <patternFill patternType="none"/>
    </fill>
    <fill>
      <patternFill patternType="gray125"/>
    </fill>
    <fill>
      <patternFill patternType="solid">
        <fgColor rgb="FF1B4332"/>
        <bgColor rgb="FF1F2937"/>
      </patternFill>
    </fill>
    <fill>
      <patternFill patternType="solid">
        <fgColor rgb="FFFFFFFF"/>
        <bgColor rgb="FFF3F4F6"/>
      </patternFill>
    </fill>
    <fill>
      <patternFill patternType="solid">
        <fgColor rgb="FF2D6A4F"/>
        <bgColor rgb="FF166534"/>
      </patternFill>
    </fill>
    <fill>
      <patternFill patternType="solid">
        <fgColor rgb="FFFFF8DC"/>
        <bgColor rgb="FFFEF3C7"/>
      </patternFill>
    </fill>
    <fill>
      <patternFill patternType="solid">
        <fgColor rgb="FFDFF0E3"/>
        <bgColor rgb="FFE8F3EC"/>
      </patternFill>
    </fill>
    <fill>
      <patternFill patternType="solid">
        <fgColor rgb="FFF3F4F6"/>
        <bgColor rgb="FFE8F3EC"/>
      </patternFill>
    </fill>
    <fill>
      <patternFill patternType="solid">
        <fgColor rgb="FFE8F3EC"/>
        <bgColor rgb="FFDFF0E3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6" fillId="0" borderId="0" xfId="0" applyFont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indent="1"/>
    </xf>
    <xf numFmtId="0" fontId="4" fillId="6" borderId="1" xfId="0" applyFont="1" applyFill="1" applyBorder="1" applyAlignment="1">
      <alignment horizontal="left" vertical="center" indent="1"/>
    </xf>
    <xf numFmtId="0" fontId="4" fillId="7" borderId="1" xfId="0" applyFont="1" applyFill="1" applyBorder="1" applyAlignment="1">
      <alignment horizontal="left" vertical="center" indent="1"/>
    </xf>
    <xf numFmtId="0" fontId="13" fillId="0" borderId="0" xfId="0" applyFont="1"/>
    <xf numFmtId="1" fontId="14" fillId="5" borderId="1" xfId="0" applyNumberFormat="1" applyFont="1" applyFill="1" applyBorder="1" applyAlignment="1" applyProtection="1">
      <alignment horizontal="center" vertical="center" wrapText="1"/>
      <protection locked="0"/>
    </xf>
    <xf numFmtId="9" fontId="1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indent="1"/>
      <protection locked="0"/>
    </xf>
    <xf numFmtId="164" fontId="7" fillId="5" borderId="1" xfId="0" applyNumberFormat="1" applyFont="1" applyFill="1" applyBorder="1" applyAlignment="1" applyProtection="1">
      <alignment horizontal="right"/>
      <protection locked="0"/>
    </xf>
    <xf numFmtId="164" fontId="4" fillId="6" borderId="1" xfId="0" applyNumberFormat="1" applyFont="1" applyFill="1" applyBorder="1" applyAlignment="1" applyProtection="1">
      <alignment horizontal="right"/>
      <protection locked="0"/>
    </xf>
    <xf numFmtId="164" fontId="13" fillId="7" borderId="1" xfId="0" applyNumberFormat="1" applyFont="1" applyFill="1" applyBorder="1"/>
    <xf numFmtId="0" fontId="13" fillId="7" borderId="1" xfId="0" applyFont="1" applyFill="1" applyBorder="1" applyAlignment="1">
      <alignment horizontal="left" vertical="center" indent="1"/>
    </xf>
    <xf numFmtId="0" fontId="13" fillId="8" borderId="1" xfId="0" applyFont="1" applyFill="1" applyBorder="1" applyAlignment="1">
      <alignment horizontal="left" vertical="center" indent="1"/>
    </xf>
    <xf numFmtId="164" fontId="13" fillId="8" borderId="1" xfId="0" applyNumberFormat="1" applyFont="1" applyFill="1" applyBorder="1"/>
    <xf numFmtId="0" fontId="18" fillId="0" borderId="0" xfId="0" applyFont="1"/>
    <xf numFmtId="0" fontId="8" fillId="0" borderId="2" xfId="0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165" fontId="4" fillId="0" borderId="1" xfId="0" applyNumberFormat="1" applyFont="1" applyBorder="1"/>
    <xf numFmtId="165" fontId="13" fillId="0" borderId="1" xfId="0" applyNumberFormat="1" applyFont="1" applyBorder="1"/>
    <xf numFmtId="166" fontId="4" fillId="0" borderId="1" xfId="0" applyNumberFormat="1" applyFont="1" applyBorder="1" applyAlignment="1">
      <alignment horizontal="center"/>
    </xf>
    <xf numFmtId="165" fontId="18" fillId="0" borderId="0" xfId="0" applyNumberFormat="1" applyFont="1"/>
    <xf numFmtId="0" fontId="4" fillId="8" borderId="1" xfId="0" applyFont="1" applyFill="1" applyBorder="1"/>
    <xf numFmtId="0" fontId="13" fillId="8" borderId="1" xfId="0" applyFont="1" applyFill="1" applyBorder="1" applyAlignment="1">
      <alignment horizontal="center"/>
    </xf>
    <xf numFmtId="165" fontId="13" fillId="8" borderId="1" xfId="0" applyNumberFormat="1" applyFont="1" applyFill="1" applyBorder="1"/>
    <xf numFmtId="166" fontId="13" fillId="8" borderId="1" xfId="0" applyNumberFormat="1" applyFont="1" applyFill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/>
    <xf numFmtId="0" fontId="2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4" fillId="0" borderId="0" xfId="0" applyFont="1"/>
    <xf numFmtId="0" fontId="17" fillId="4" borderId="0" xfId="0" applyFont="1" applyFill="1" applyAlignment="1">
      <alignment horizontal="left" vertical="center" indent="1"/>
    </xf>
    <xf numFmtId="0" fontId="10" fillId="2" borderId="0" xfId="0" applyFont="1" applyFill="1" applyAlignment="1">
      <alignment horizontal="left" vertical="center" inden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5" fillId="4" borderId="0" xfId="0" applyFont="1" applyFill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0" fillId="3" borderId="0" xfId="0" applyFill="1"/>
    <xf numFmtId="0" fontId="2" fillId="2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16" fillId="2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left" vertical="center" indent="1"/>
    </xf>
    <xf numFmtId="165" fontId="22" fillId="8" borderId="0" xfId="0" applyNumberFormat="1" applyFont="1" applyFill="1" applyAlignment="1">
      <alignment horizontal="center" vertical="center" wrapText="1"/>
    </xf>
    <xf numFmtId="166" fontId="22" fillId="8" borderId="0" xfId="0" applyNumberFormat="1" applyFont="1" applyFill="1" applyAlignment="1">
      <alignment horizontal="center" vertical="center" wrapText="1"/>
    </xf>
    <xf numFmtId="0" fontId="19" fillId="2" borderId="0" xfId="0" applyFont="1" applyFill="1" applyAlignment="1">
      <alignment horizontal="left" vertical="center" indent="1"/>
    </xf>
    <xf numFmtId="0" fontId="20" fillId="4" borderId="0" xfId="0" applyFont="1" applyFill="1" applyAlignment="1">
      <alignment horizontal="left" vertical="center" indent="1"/>
    </xf>
    <xf numFmtId="0" fontId="21" fillId="8" borderId="0" xfId="0" applyFont="1" applyFill="1" applyAlignment="1">
      <alignment horizontal="center" vertical="center" wrapText="1"/>
    </xf>
    <xf numFmtId="0" fontId="8" fillId="8" borderId="0" xfId="0" applyFont="1" applyFill="1" applyAlignment="1">
      <alignment horizontal="left" vertical="center" indent="1"/>
    </xf>
    <xf numFmtId="0" fontId="4" fillId="0" borderId="2" xfId="0" applyFont="1" applyBorder="1" applyAlignment="1">
      <alignment vertical="center" wrapText="1"/>
    </xf>
  </cellXfs>
  <cellStyles count="1">
    <cellStyle name="Normal" xfId="0" builtinId="0"/>
  </cellStyles>
  <dxfs count="16">
    <dxf>
      <font>
        <b/>
        <color rgb="FF166534"/>
        <name val="Arial"/>
        <charset val="1"/>
      </font>
    </dxf>
    <dxf>
      <font>
        <b/>
        <color rgb="FFB42318"/>
        <name val="Arial"/>
        <charset val="1"/>
      </font>
    </dxf>
    <dxf>
      <font>
        <b/>
        <color rgb="FF6B7280"/>
        <name val="Arial"/>
        <charset val="1"/>
      </font>
      <fill>
        <patternFill>
          <bgColor rgb="FFF3F4F6"/>
        </patternFill>
      </fill>
    </dxf>
    <dxf>
      <font>
        <b/>
        <color rgb="FF166534"/>
        <name val="Arial"/>
        <charset val="1"/>
      </font>
      <fill>
        <patternFill>
          <bgColor rgb="FFDCFCE7"/>
        </patternFill>
      </fill>
    </dxf>
    <dxf>
      <font>
        <b/>
        <color rgb="FF92400E"/>
        <name val="Arial"/>
        <charset val="1"/>
      </font>
      <fill>
        <patternFill>
          <bgColor rgb="FFFEF3C7"/>
        </patternFill>
      </fill>
    </dxf>
    <dxf>
      <font>
        <b/>
        <color rgb="FFB42318"/>
        <name val="Arial"/>
        <charset val="1"/>
      </font>
      <fill>
        <patternFill>
          <bgColor rgb="FFFDE8E6"/>
        </patternFill>
      </fill>
    </dxf>
    <dxf>
      <font>
        <b/>
        <color rgb="FF6B7280"/>
        <name val="Arial"/>
        <charset val="1"/>
      </font>
      <fill>
        <patternFill>
          <bgColor rgb="FFF3F4F6"/>
        </patternFill>
      </fill>
    </dxf>
    <dxf>
      <font>
        <b/>
        <color rgb="FF166534"/>
        <name val="Arial"/>
        <charset val="1"/>
      </font>
      <fill>
        <patternFill>
          <bgColor rgb="FFDCFCE7"/>
        </patternFill>
      </fill>
    </dxf>
    <dxf>
      <font>
        <b/>
        <color rgb="FF92400E"/>
        <name val="Arial"/>
        <charset val="1"/>
      </font>
      <fill>
        <patternFill>
          <bgColor rgb="FFFEF3C7"/>
        </patternFill>
      </fill>
    </dxf>
    <dxf>
      <font>
        <b/>
        <color rgb="FFB42318"/>
        <name val="Arial"/>
        <charset val="1"/>
      </font>
      <fill>
        <patternFill>
          <bgColor rgb="FFFDE8E6"/>
        </patternFill>
      </fill>
    </dxf>
    <dxf>
      <font>
        <b/>
        <color rgb="FF166534"/>
        <name val="Arial"/>
        <charset val="1"/>
      </font>
    </dxf>
    <dxf>
      <font>
        <b/>
        <color rgb="FFB42318"/>
        <name val="Arial"/>
        <charset val="1"/>
      </font>
    </dxf>
    <dxf>
      <font>
        <b/>
        <color rgb="FF166534"/>
        <name val="Arial"/>
        <charset val="1"/>
      </font>
    </dxf>
    <dxf>
      <font>
        <b/>
        <color rgb="FFB42318"/>
        <name val="Arial"/>
        <charset val="1"/>
      </font>
    </dxf>
    <dxf>
      <font>
        <b/>
        <color rgb="FF166534"/>
        <name val="Arial"/>
        <charset val="1"/>
      </font>
    </dxf>
    <dxf>
      <font>
        <b/>
        <color rgb="FFB42318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66534"/>
      <rgbColor rgb="FF000080"/>
      <rgbColor rgb="FF808000"/>
      <rgbColor rgb="FF800080"/>
      <rgbColor rgb="FF2D6A4F"/>
      <rgbColor rgb="FFD9D9D9"/>
      <rgbColor rgb="FF878787"/>
      <rgbColor rgb="FF9999FF"/>
      <rgbColor rgb="FFB42318"/>
      <rgbColor rgb="FFFFF8DC"/>
      <rgbColor rgb="FFDCFCE7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3EC"/>
      <rgbColor rgb="FFDFF0E3"/>
      <rgbColor rgb="FFFEF3C7"/>
      <rgbColor rgb="FFF3F4F6"/>
      <rgbColor rgb="FFFF99CC"/>
      <rgbColor rgb="FFCC99FF"/>
      <rgbColor rgb="FFFDE8E6"/>
      <rgbColor rgb="FF3366FF"/>
      <rgbColor rgb="FF33CCCC"/>
      <rgbColor rgb="FF99CC00"/>
      <rgbColor rgb="FFFFCC00"/>
      <rgbColor rgb="FFC9A227"/>
      <rgbColor rgb="FFFF6600"/>
      <rgbColor rgb="FF6B7280"/>
      <rgbColor rgb="FF969696"/>
      <rgbColor rgb="FF003366"/>
      <rgbColor rgb="FF339966"/>
      <rgbColor rgb="FF003300"/>
      <rgbColor rgb="FF1B4332"/>
      <rgbColor rgb="FF92400E"/>
      <rgbColor rgb="FF993366"/>
      <rgbColor rgb="FF333399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Receitas × despesas por mês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Resumo!$C$14</c:f>
              <c:strCache>
                <c:ptCount val="1"/>
                <c:pt idx="0">
                  <c:v>Receitas</c:v>
                </c:pt>
              </c:strCache>
            </c:strRef>
          </c:tx>
          <c:spPr>
            <a:solidFill>
              <a:srgbClr val="2D6A4F"/>
            </a:solidFill>
            <a:ln w="0">
              <a:solidFill>
                <a:srgbClr val="2D6A4F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Resumo!$B$15:$B$26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Resumo!$C$15:$C$26</c:f>
              <c:numCache>
                <c:formatCode>"R$ "#,##0.00</c:formatCode>
                <c:ptCount val="12"/>
                <c:pt idx="0">
                  <c:v>7000</c:v>
                </c:pt>
                <c:pt idx="1">
                  <c:v>7000</c:v>
                </c:pt>
                <c:pt idx="2">
                  <c:v>7000</c:v>
                </c:pt>
                <c:pt idx="3">
                  <c:v>7000</c:v>
                </c:pt>
                <c:pt idx="4">
                  <c:v>7000</c:v>
                </c:pt>
                <c:pt idx="5">
                  <c:v>7000</c:v>
                </c:pt>
                <c:pt idx="6">
                  <c:v>7000</c:v>
                </c:pt>
                <c:pt idx="7">
                  <c:v>7000</c:v>
                </c:pt>
                <c:pt idx="8">
                  <c:v>7000</c:v>
                </c:pt>
                <c:pt idx="9">
                  <c:v>7000</c:v>
                </c:pt>
                <c:pt idx="10">
                  <c:v>7000</c:v>
                </c:pt>
                <c:pt idx="11">
                  <c:v>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3-4A71-BACA-97668A3AD2EC}"/>
            </c:ext>
          </c:extLst>
        </c:ser>
        <c:ser>
          <c:idx val="1"/>
          <c:order val="1"/>
          <c:tx>
            <c:strRef>
              <c:f>Resumo!$F$14</c:f>
              <c:strCache>
                <c:ptCount val="1"/>
                <c:pt idx="0">
                  <c:v>Total de despesas</c:v>
                </c:pt>
              </c:strCache>
            </c:strRef>
          </c:tx>
          <c:spPr>
            <a:solidFill>
              <a:srgbClr val="C9A227"/>
            </a:solidFill>
            <a:ln w="0">
              <a:solidFill>
                <a:srgbClr val="C9A227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Resumo!$B$15:$B$26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Resumo!$F$15:$F$26</c:f>
              <c:numCache>
                <c:formatCode>"R$ "#,##0.00</c:formatCode>
                <c:ptCount val="12"/>
                <c:pt idx="0">
                  <c:v>1245</c:v>
                </c:pt>
                <c:pt idx="1">
                  <c:v>1245</c:v>
                </c:pt>
                <c:pt idx="2">
                  <c:v>1245</c:v>
                </c:pt>
                <c:pt idx="3">
                  <c:v>1245</c:v>
                </c:pt>
                <c:pt idx="4">
                  <c:v>1245</c:v>
                </c:pt>
                <c:pt idx="5">
                  <c:v>1245</c:v>
                </c:pt>
                <c:pt idx="6">
                  <c:v>1245</c:v>
                </c:pt>
                <c:pt idx="7">
                  <c:v>1245</c:v>
                </c:pt>
                <c:pt idx="8">
                  <c:v>1245</c:v>
                </c:pt>
                <c:pt idx="9">
                  <c:v>1245</c:v>
                </c:pt>
                <c:pt idx="10">
                  <c:v>1245</c:v>
                </c:pt>
                <c:pt idx="11">
                  <c:v>1245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3-4A71-BACA-97668A3AD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86351515"/>
        <c:axId val="87247338"/>
      </c:barChart>
      <c:catAx>
        <c:axId val="863515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87247338"/>
        <c:crosses val="autoZero"/>
        <c:auto val="1"/>
        <c:lblAlgn val="ctr"/>
        <c:lblOffset val="100"/>
        <c:noMultiLvlLbl val="0"/>
      </c:catAx>
      <c:valAx>
        <c:axId val="8724733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&quot;R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86351515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pt-BR"/>
        </a:p>
      </c:txPr>
    </c:legend>
    <c:plotVisOnly val="0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Saldo de cada mês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Resumo!$K$14</c:f>
              <c:strCache>
                <c:ptCount val="1"/>
                <c:pt idx="0">
                  <c:v>Saldo positivo</c:v>
                </c:pt>
              </c:strCache>
            </c:strRef>
          </c:tx>
          <c:spPr>
            <a:solidFill>
              <a:srgbClr val="2D6A4F"/>
            </a:solidFill>
            <a:ln w="0">
              <a:solidFill>
                <a:srgbClr val="2D6A4F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Resumo!$B$15:$B$26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Resumo!$K$15:$K$26</c:f>
              <c:numCache>
                <c:formatCode>"R$ "#,##0.00</c:formatCode>
                <c:ptCount val="12"/>
                <c:pt idx="0">
                  <c:v>5755</c:v>
                </c:pt>
                <c:pt idx="1">
                  <c:v>5755</c:v>
                </c:pt>
                <c:pt idx="2">
                  <c:v>5755</c:v>
                </c:pt>
                <c:pt idx="3">
                  <c:v>5755</c:v>
                </c:pt>
                <c:pt idx="4">
                  <c:v>5755</c:v>
                </c:pt>
                <c:pt idx="5">
                  <c:v>5755</c:v>
                </c:pt>
                <c:pt idx="6">
                  <c:v>5755</c:v>
                </c:pt>
                <c:pt idx="7">
                  <c:v>5755</c:v>
                </c:pt>
                <c:pt idx="8">
                  <c:v>5755</c:v>
                </c:pt>
                <c:pt idx="9">
                  <c:v>5755</c:v>
                </c:pt>
                <c:pt idx="10">
                  <c:v>5755</c:v>
                </c:pt>
                <c:pt idx="11">
                  <c:v>5755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22-4984-9FDF-31745604679A}"/>
            </c:ext>
          </c:extLst>
        </c:ser>
        <c:ser>
          <c:idx val="1"/>
          <c:order val="1"/>
          <c:tx>
            <c:strRef>
              <c:f>Resumo!$L$14</c:f>
              <c:strCache>
                <c:ptCount val="1"/>
                <c:pt idx="0">
                  <c:v>Saldo negativo</c:v>
                </c:pt>
              </c:strCache>
            </c:strRef>
          </c:tx>
          <c:spPr>
            <a:solidFill>
              <a:srgbClr val="B42318"/>
            </a:solidFill>
            <a:ln w="0">
              <a:solidFill>
                <a:srgbClr val="B42318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Resumo!$B$15:$B$26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Resumo!$L$15:$L$26</c:f>
              <c:numCache>
                <c:formatCode>"R$ "#,##0.00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22-4984-9FDF-317456046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25683484"/>
        <c:axId val="80173253"/>
      </c:barChart>
      <c:catAx>
        <c:axId val="256834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80173253"/>
        <c:crosses val="autoZero"/>
        <c:auto val="1"/>
        <c:lblAlgn val="ctr"/>
        <c:lblOffset val="100"/>
        <c:noMultiLvlLbl val="0"/>
      </c:catAx>
      <c:valAx>
        <c:axId val="8017325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&quot;R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2568348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pt-BR"/>
        </a:p>
      </c:txPr>
    </c:legend>
    <c:plotVisOnly val="0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Despesas fixas × variáveis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Resumo!$D$14</c:f>
              <c:strCache>
                <c:ptCount val="1"/>
                <c:pt idx="0">
                  <c:v>Despesas fixas</c:v>
                </c:pt>
              </c:strCache>
            </c:strRef>
          </c:tx>
          <c:spPr>
            <a:solidFill>
              <a:srgbClr val="1B4332"/>
            </a:solidFill>
            <a:ln w="0">
              <a:solidFill>
                <a:srgbClr val="1B4332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Resumo!$B$15:$B$26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Resumo!$D$15:$D$26</c:f>
              <c:numCache>
                <c:formatCode>"R$ "#,##0.00</c:formatCode>
                <c:ptCount val="12"/>
                <c:pt idx="0">
                  <c:v>1245</c:v>
                </c:pt>
                <c:pt idx="1">
                  <c:v>1245</c:v>
                </c:pt>
                <c:pt idx="2">
                  <c:v>1245</c:v>
                </c:pt>
                <c:pt idx="3">
                  <c:v>1245</c:v>
                </c:pt>
                <c:pt idx="4">
                  <c:v>1245</c:v>
                </c:pt>
                <c:pt idx="5">
                  <c:v>1245</c:v>
                </c:pt>
                <c:pt idx="6">
                  <c:v>1245</c:v>
                </c:pt>
                <c:pt idx="7">
                  <c:v>1245</c:v>
                </c:pt>
                <c:pt idx="8">
                  <c:v>1245</c:v>
                </c:pt>
                <c:pt idx="9">
                  <c:v>1245</c:v>
                </c:pt>
                <c:pt idx="10">
                  <c:v>1245</c:v>
                </c:pt>
                <c:pt idx="11">
                  <c:v>1245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89-41F1-B10C-08E596C7FF3D}"/>
            </c:ext>
          </c:extLst>
        </c:ser>
        <c:ser>
          <c:idx val="1"/>
          <c:order val="1"/>
          <c:tx>
            <c:strRef>
              <c:f>Resumo!$E$14</c:f>
              <c:strCache>
                <c:ptCount val="1"/>
                <c:pt idx="0">
                  <c:v>Despesas variáveis</c:v>
                </c:pt>
              </c:strCache>
            </c:strRef>
          </c:tx>
          <c:spPr>
            <a:solidFill>
              <a:srgbClr val="C9A227"/>
            </a:solidFill>
            <a:ln w="0">
              <a:solidFill>
                <a:srgbClr val="C9A227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Resumo!$B$15:$B$26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Resumo!$E$15:$E$26</c:f>
              <c:numCache>
                <c:formatCode>"R$ "#,##0.00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89-41F1-B10C-08E596C7FF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271101"/>
        <c:axId val="6648868"/>
      </c:barChart>
      <c:catAx>
        <c:axId val="52711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6648868"/>
        <c:crosses val="autoZero"/>
        <c:auto val="1"/>
        <c:lblAlgn val="ctr"/>
        <c:lblOffset val="100"/>
        <c:noMultiLvlLbl val="0"/>
      </c:catAx>
      <c:valAx>
        <c:axId val="664886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&quot;R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527110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pt-BR"/>
        </a:p>
      </c:txPr>
    </c:legend>
    <c:plotVisOnly val="0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6 maiores despesas do ano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Resumo!$E$30</c:f>
              <c:strCache>
                <c:ptCount val="1"/>
                <c:pt idx="0">
                  <c:v>Total no ano</c:v>
                </c:pt>
              </c:strCache>
            </c:strRef>
          </c:tx>
          <c:spPr>
            <a:solidFill>
              <a:srgbClr val="2D6A4F"/>
            </a:solidFill>
            <a:ln w="0">
              <a:solidFill>
                <a:srgbClr val="2D6A4F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Resumo!$B$31:$B$36</c:f>
              <c:strCache>
                <c:ptCount val="2"/>
                <c:pt idx="0">
                  <c:v>Aluguel ou financiamento do imóvel</c:v>
                </c:pt>
                <c:pt idx="1">
                  <c:v>Streaming de vídeo</c:v>
                </c:pt>
              </c:strCache>
            </c:strRef>
          </c:cat>
          <c:val>
            <c:numRef>
              <c:f>Resumo!$E$31:$E$36</c:f>
              <c:numCache>
                <c:formatCode>"R$ "#,##0.00;"-R$ "#,##0.00;\–</c:formatCode>
                <c:ptCount val="6"/>
                <c:pt idx="0">
                  <c:v>14400</c:v>
                </c:pt>
                <c:pt idx="1">
                  <c:v>540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8E-4399-B8F2-CA71DD0C78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38854302"/>
        <c:axId val="10722019"/>
      </c:barChart>
      <c:catAx>
        <c:axId val="3885430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10722019"/>
        <c:crosses val="autoZero"/>
        <c:auto val="1"/>
        <c:lblAlgn val="ctr"/>
        <c:lblOffset val="100"/>
        <c:noMultiLvlLbl val="0"/>
      </c:catAx>
      <c:valAx>
        <c:axId val="10722019"/>
        <c:scaling>
          <c:orientation val="minMax"/>
        </c:scaling>
        <c:delete val="0"/>
        <c:axPos val="t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&quot;R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38854302"/>
        <c:crosses val="autoZero"/>
        <c:crossBetween val="between"/>
      </c:valAx>
      <c:spPr>
        <a:noFill/>
        <a:ln w="0">
          <a:noFill/>
        </a:ln>
      </c:spPr>
    </c:plotArea>
    <c:plotVisOnly val="0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228600</xdr:colOff>
      <xdr:row>1</xdr:row>
      <xdr:rowOff>28440</xdr:rowOff>
    </xdr:from>
    <xdr:to>
      <xdr:col>3</xdr:col>
      <xdr:colOff>2085480</xdr:colOff>
      <xdr:row>2</xdr:row>
      <xdr:rowOff>475920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867280" y="218880"/>
          <a:ext cx="1856880" cy="723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0</xdr:rowOff>
    </xdr:from>
    <xdr:to>
      <xdr:col>4</xdr:col>
      <xdr:colOff>759240</xdr:colOff>
      <xdr:row>53</xdr:row>
      <xdr:rowOff>140400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39</xdr:row>
      <xdr:rowOff>0</xdr:rowOff>
    </xdr:from>
    <xdr:to>
      <xdr:col>8</xdr:col>
      <xdr:colOff>900360</xdr:colOff>
      <xdr:row>53</xdr:row>
      <xdr:rowOff>140400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56</xdr:row>
      <xdr:rowOff>0</xdr:rowOff>
    </xdr:from>
    <xdr:to>
      <xdr:col>4</xdr:col>
      <xdr:colOff>759240</xdr:colOff>
      <xdr:row>70</xdr:row>
      <xdr:rowOff>140760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5</xdr:col>
      <xdr:colOff>0</xdr:colOff>
      <xdr:row>56</xdr:row>
      <xdr:rowOff>0</xdr:rowOff>
    </xdr:from>
    <xdr:to>
      <xdr:col>8</xdr:col>
      <xdr:colOff>900360</xdr:colOff>
      <xdr:row>70</xdr:row>
      <xdr:rowOff>140760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35"/>
  <sheetViews>
    <sheetView showGridLines="0" tabSelected="1" zoomScaleNormal="100" workbookViewId="0">
      <selection activeCell="B33" sqref="B33:D33"/>
    </sheetView>
  </sheetViews>
  <sheetFormatPr defaultColWidth="8.7109375" defaultRowHeight="15" x14ac:dyDescent="0.25"/>
  <cols>
    <col min="1" max="1" width="2" customWidth="1"/>
    <col min="2" max="2" width="6" customWidth="1"/>
    <col min="3" max="3" width="72" customWidth="1"/>
    <col min="4" max="4" width="34" customWidth="1"/>
  </cols>
  <sheetData>
    <row r="2" spans="2:4" ht="21.75" customHeight="1" x14ac:dyDescent="0.25">
      <c r="B2" s="48" t="s">
        <v>0</v>
      </c>
      <c r="C2" s="48"/>
      <c r="D2" s="49"/>
    </row>
    <row r="3" spans="2:4" ht="39.75" customHeight="1" x14ac:dyDescent="0.25">
      <c r="B3" s="50" t="s">
        <v>1</v>
      </c>
      <c r="C3" s="50"/>
      <c r="D3" s="49"/>
    </row>
    <row r="5" spans="2:4" ht="16.5" x14ac:dyDescent="0.25">
      <c r="B5" s="51" t="s">
        <v>2</v>
      </c>
      <c r="C5" s="51"/>
      <c r="D5" s="51"/>
    </row>
    <row r="6" spans="2:4" ht="31.5" customHeight="1" x14ac:dyDescent="0.25">
      <c r="B6" s="44" t="s">
        <v>3</v>
      </c>
      <c r="C6" s="44"/>
      <c r="D6" s="44"/>
    </row>
    <row r="8" spans="2:4" x14ac:dyDescent="0.25">
      <c r="B8" s="45" t="s">
        <v>4</v>
      </c>
      <c r="C8" s="45"/>
      <c r="D8" s="45"/>
    </row>
    <row r="9" spans="2:4" ht="31.5" customHeight="1" x14ac:dyDescent="0.25">
      <c r="B9" s="1" t="s">
        <v>5</v>
      </c>
      <c r="C9" s="44" t="s">
        <v>6</v>
      </c>
      <c r="D9" s="44"/>
    </row>
    <row r="10" spans="2:4" ht="31.5" customHeight="1" x14ac:dyDescent="0.25">
      <c r="B10" s="1" t="s">
        <v>7</v>
      </c>
      <c r="C10" s="44" t="s">
        <v>8</v>
      </c>
      <c r="D10" s="44"/>
    </row>
    <row r="11" spans="2:4" ht="31.5" customHeight="1" x14ac:dyDescent="0.25">
      <c r="B11" s="1" t="s">
        <v>9</v>
      </c>
      <c r="C11" s="44" t="s">
        <v>10</v>
      </c>
      <c r="D11" s="44"/>
    </row>
    <row r="13" spans="2:4" x14ac:dyDescent="0.25">
      <c r="B13" s="45" t="s">
        <v>11</v>
      </c>
      <c r="C13" s="45"/>
      <c r="D13" s="45"/>
    </row>
    <row r="14" spans="2:4" ht="31.5" customHeight="1" x14ac:dyDescent="0.25">
      <c r="C14" s="44" t="s">
        <v>12</v>
      </c>
      <c r="D14" s="44"/>
    </row>
    <row r="15" spans="2:4" ht="31.5" customHeight="1" x14ac:dyDescent="0.25">
      <c r="C15" s="44" t="s">
        <v>13</v>
      </c>
      <c r="D15" s="44"/>
    </row>
    <row r="16" spans="2:4" ht="21.75" customHeight="1" x14ac:dyDescent="0.25">
      <c r="C16" s="44" t="s">
        <v>14</v>
      </c>
      <c r="D16" s="44"/>
    </row>
    <row r="17" spans="2:4" ht="21.75" customHeight="1" x14ac:dyDescent="0.25">
      <c r="C17" s="44" t="s">
        <v>15</v>
      </c>
      <c r="D17" s="44"/>
    </row>
    <row r="18" spans="2:4" ht="21.75" customHeight="1" x14ac:dyDescent="0.25">
      <c r="C18" s="44" t="s">
        <v>16</v>
      </c>
      <c r="D18" s="44"/>
    </row>
    <row r="20" spans="2:4" x14ac:dyDescent="0.25">
      <c r="B20" s="45" t="s">
        <v>17</v>
      </c>
      <c r="C20" s="45"/>
      <c r="D20" s="45"/>
    </row>
    <row r="21" spans="2:4" x14ac:dyDescent="0.25">
      <c r="C21" s="2" t="s">
        <v>18</v>
      </c>
    </row>
    <row r="22" spans="2:4" x14ac:dyDescent="0.25">
      <c r="C22" s="3" t="s">
        <v>19</v>
      </c>
    </row>
    <row r="23" spans="2:4" x14ac:dyDescent="0.25">
      <c r="C23" s="4" t="s">
        <v>20</v>
      </c>
    </row>
    <row r="25" spans="2:4" x14ac:dyDescent="0.25">
      <c r="B25" s="45" t="s">
        <v>21</v>
      </c>
      <c r="C25" s="45"/>
      <c r="D25" s="45"/>
    </row>
    <row r="26" spans="2:4" ht="31.5" customHeight="1" x14ac:dyDescent="0.25">
      <c r="C26" s="44" t="s">
        <v>22</v>
      </c>
      <c r="D26" s="44"/>
    </row>
    <row r="27" spans="2:4" ht="21.75" customHeight="1" x14ac:dyDescent="0.25">
      <c r="C27" s="44" t="s">
        <v>23</v>
      </c>
      <c r="D27" s="44"/>
    </row>
    <row r="28" spans="2:4" ht="21.75" customHeight="1" x14ac:dyDescent="0.25">
      <c r="C28" s="44" t="s">
        <v>24</v>
      </c>
      <c r="D28" s="44"/>
    </row>
    <row r="29" spans="2:4" ht="31.5" customHeight="1" x14ac:dyDescent="0.25">
      <c r="C29" s="44" t="s">
        <v>25</v>
      </c>
      <c r="D29" s="44"/>
    </row>
    <row r="31" spans="2:4" x14ac:dyDescent="0.25">
      <c r="B31" s="45" t="s">
        <v>26</v>
      </c>
      <c r="C31" s="45"/>
      <c r="D31" s="45"/>
    </row>
    <row r="32" spans="2:4" ht="21.75" customHeight="1" x14ac:dyDescent="0.25">
      <c r="B32" s="44" t="s">
        <v>27</v>
      </c>
      <c r="C32" s="44"/>
      <c r="D32" s="44"/>
    </row>
    <row r="33" spans="2:4" x14ac:dyDescent="0.25">
      <c r="B33" s="46" t="s">
        <v>28</v>
      </c>
      <c r="C33" s="46"/>
      <c r="D33" s="46"/>
    </row>
    <row r="35" spans="2:4" x14ac:dyDescent="0.25">
      <c r="B35" s="47" t="s">
        <v>29</v>
      </c>
      <c r="C35" s="47"/>
      <c r="D35" s="47"/>
    </row>
  </sheetData>
  <sheetProtection password="9FDE" sheet="1" objects="1" scenarios="1"/>
  <mergeCells count="25">
    <mergeCell ref="B2:C2"/>
    <mergeCell ref="D2:D3"/>
    <mergeCell ref="B3:C3"/>
    <mergeCell ref="B5:D5"/>
    <mergeCell ref="B6:D6"/>
    <mergeCell ref="B8:D8"/>
    <mergeCell ref="C9:D9"/>
    <mergeCell ref="C10:D10"/>
    <mergeCell ref="C11:D11"/>
    <mergeCell ref="B13:D13"/>
    <mergeCell ref="C14:D14"/>
    <mergeCell ref="C15:D15"/>
    <mergeCell ref="C16:D16"/>
    <mergeCell ref="C17:D17"/>
    <mergeCell ref="C18:D18"/>
    <mergeCell ref="B20:D20"/>
    <mergeCell ref="B25:D25"/>
    <mergeCell ref="C26:D26"/>
    <mergeCell ref="C27:D27"/>
    <mergeCell ref="C28:D28"/>
    <mergeCell ref="C29:D29"/>
    <mergeCell ref="B31:D31"/>
    <mergeCell ref="B32:D32"/>
    <mergeCell ref="B33:D33"/>
    <mergeCell ref="B35:D35"/>
  </mergeCells>
  <pageMargins left="0.75" right="0.75" top="1" bottom="1" header="0.511811023622047" footer="0.511811023622047"/>
  <pageSetup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59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9" sqref="C9"/>
    </sheetView>
  </sheetViews>
  <sheetFormatPr defaultColWidth="8.7109375" defaultRowHeight="15" x14ac:dyDescent="0.25"/>
  <cols>
    <col min="1" max="1" width="2" customWidth="1"/>
    <col min="2" max="2" width="38" customWidth="1"/>
    <col min="3" max="14" width="12.42578125" customWidth="1"/>
    <col min="15" max="15" width="15" customWidth="1"/>
    <col min="16" max="16" width="2" customWidth="1"/>
    <col min="17" max="17" width="10" hidden="1" customWidth="1"/>
  </cols>
  <sheetData>
    <row r="1" spans="2:15" ht="30" customHeight="1" x14ac:dyDescent="0.25">
      <c r="B1" s="40" t="s">
        <v>30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2:15" ht="27.75" customHeight="1" x14ac:dyDescent="0.25">
      <c r="B2" s="41" t="s">
        <v>31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2:15" ht="27.75" customHeight="1" x14ac:dyDescent="0.25">
      <c r="B3" s="42" t="s">
        <v>32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2:15" x14ac:dyDescent="0.25">
      <c r="B4" s="5" t="s">
        <v>33</v>
      </c>
      <c r="C4" s="6">
        <v>2026</v>
      </c>
      <c r="E4" s="43" t="s">
        <v>34</v>
      </c>
      <c r="F4" s="43"/>
      <c r="G4" s="43"/>
      <c r="H4" s="7">
        <v>0.8</v>
      </c>
    </row>
    <row r="6" spans="2:15" ht="24" customHeight="1" x14ac:dyDescent="0.25">
      <c r="B6" s="8" t="s">
        <v>35</v>
      </c>
      <c r="C6" s="8" t="s">
        <v>36</v>
      </c>
      <c r="D6" s="8" t="s">
        <v>37</v>
      </c>
      <c r="E6" s="8" t="s">
        <v>38</v>
      </c>
      <c r="F6" s="8" t="s">
        <v>39</v>
      </c>
      <c r="G6" s="8" t="s">
        <v>40</v>
      </c>
      <c r="H6" s="8" t="s">
        <v>41</v>
      </c>
      <c r="I6" s="8" t="s">
        <v>42</v>
      </c>
      <c r="J6" s="8" t="s">
        <v>43</v>
      </c>
      <c r="K6" s="8" t="s">
        <v>44</v>
      </c>
      <c r="L6" s="8" t="s">
        <v>45</v>
      </c>
      <c r="M6" s="8" t="s">
        <v>46</v>
      </c>
      <c r="N6" s="8" t="s">
        <v>47</v>
      </c>
      <c r="O6" s="8" t="s">
        <v>48</v>
      </c>
    </row>
    <row r="7" spans="2:15" x14ac:dyDescent="0.25">
      <c r="B7" s="39" t="s">
        <v>49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</row>
    <row r="8" spans="2:15" x14ac:dyDescent="0.25">
      <c r="B8" s="9" t="s">
        <v>50</v>
      </c>
      <c r="C8" s="10">
        <v>7000</v>
      </c>
      <c r="D8" s="11">
        <f t="shared" ref="D8:N8" si="0">C8</f>
        <v>7000</v>
      </c>
      <c r="E8" s="11">
        <f t="shared" si="0"/>
        <v>7000</v>
      </c>
      <c r="F8" s="11">
        <f t="shared" si="0"/>
        <v>7000</v>
      </c>
      <c r="G8" s="11">
        <f t="shared" si="0"/>
        <v>7000</v>
      </c>
      <c r="H8" s="11">
        <f t="shared" si="0"/>
        <v>7000</v>
      </c>
      <c r="I8" s="11">
        <f t="shared" si="0"/>
        <v>7000</v>
      </c>
      <c r="J8" s="11">
        <f t="shared" si="0"/>
        <v>7000</v>
      </c>
      <c r="K8" s="11">
        <f t="shared" si="0"/>
        <v>7000</v>
      </c>
      <c r="L8" s="11">
        <f t="shared" si="0"/>
        <v>7000</v>
      </c>
      <c r="M8" s="11">
        <f t="shared" si="0"/>
        <v>7000</v>
      </c>
      <c r="N8" s="11">
        <f t="shared" si="0"/>
        <v>7000</v>
      </c>
      <c r="O8" s="12">
        <f t="shared" ref="O8:O14" si="1">SUM(C8:N8)</f>
        <v>84000</v>
      </c>
    </row>
    <row r="9" spans="2:15" x14ac:dyDescent="0.25">
      <c r="B9" s="9" t="s">
        <v>51</v>
      </c>
      <c r="C9" s="10"/>
      <c r="D9" s="11">
        <f t="shared" ref="D9:N9" si="2">C9</f>
        <v>0</v>
      </c>
      <c r="E9" s="11">
        <f t="shared" si="2"/>
        <v>0</v>
      </c>
      <c r="F9" s="11">
        <f t="shared" si="2"/>
        <v>0</v>
      </c>
      <c r="G9" s="11">
        <f t="shared" si="2"/>
        <v>0</v>
      </c>
      <c r="H9" s="11">
        <f t="shared" si="2"/>
        <v>0</v>
      </c>
      <c r="I9" s="11">
        <f t="shared" si="2"/>
        <v>0</v>
      </c>
      <c r="J9" s="11">
        <f t="shared" si="2"/>
        <v>0</v>
      </c>
      <c r="K9" s="11">
        <f t="shared" si="2"/>
        <v>0</v>
      </c>
      <c r="L9" s="11">
        <f t="shared" si="2"/>
        <v>0</v>
      </c>
      <c r="M9" s="11">
        <f t="shared" si="2"/>
        <v>0</v>
      </c>
      <c r="N9" s="11">
        <f t="shared" si="2"/>
        <v>0</v>
      </c>
      <c r="O9" s="12">
        <f t="shared" si="1"/>
        <v>0</v>
      </c>
    </row>
    <row r="10" spans="2:15" x14ac:dyDescent="0.25">
      <c r="B10" s="9" t="s">
        <v>52</v>
      </c>
      <c r="C10" s="10"/>
      <c r="D10" s="11">
        <f t="shared" ref="D10:N10" si="3">C10</f>
        <v>0</v>
      </c>
      <c r="E10" s="11">
        <f t="shared" si="3"/>
        <v>0</v>
      </c>
      <c r="F10" s="11">
        <f t="shared" si="3"/>
        <v>0</v>
      </c>
      <c r="G10" s="11">
        <f t="shared" si="3"/>
        <v>0</v>
      </c>
      <c r="H10" s="11">
        <f t="shared" si="3"/>
        <v>0</v>
      </c>
      <c r="I10" s="11">
        <f t="shared" si="3"/>
        <v>0</v>
      </c>
      <c r="J10" s="11">
        <f t="shared" si="3"/>
        <v>0</v>
      </c>
      <c r="K10" s="11">
        <f t="shared" si="3"/>
        <v>0</v>
      </c>
      <c r="L10" s="11">
        <f t="shared" si="3"/>
        <v>0</v>
      </c>
      <c r="M10" s="11">
        <f t="shared" si="3"/>
        <v>0</v>
      </c>
      <c r="N10" s="11">
        <f t="shared" si="3"/>
        <v>0</v>
      </c>
      <c r="O10" s="12">
        <f t="shared" si="1"/>
        <v>0</v>
      </c>
    </row>
    <row r="11" spans="2:15" x14ac:dyDescent="0.25">
      <c r="B11" s="9" t="s">
        <v>53</v>
      </c>
      <c r="C11" s="10"/>
      <c r="D11" s="11">
        <f t="shared" ref="D11:N11" si="4">C11</f>
        <v>0</v>
      </c>
      <c r="E11" s="11">
        <f t="shared" si="4"/>
        <v>0</v>
      </c>
      <c r="F11" s="11">
        <f t="shared" si="4"/>
        <v>0</v>
      </c>
      <c r="G11" s="11">
        <f t="shared" si="4"/>
        <v>0</v>
      </c>
      <c r="H11" s="11">
        <f t="shared" si="4"/>
        <v>0</v>
      </c>
      <c r="I11" s="11">
        <f t="shared" si="4"/>
        <v>0</v>
      </c>
      <c r="J11" s="11">
        <f t="shared" si="4"/>
        <v>0</v>
      </c>
      <c r="K11" s="11">
        <f t="shared" si="4"/>
        <v>0</v>
      </c>
      <c r="L11" s="11">
        <f t="shared" si="4"/>
        <v>0</v>
      </c>
      <c r="M11" s="11">
        <f t="shared" si="4"/>
        <v>0</v>
      </c>
      <c r="N11" s="11">
        <f t="shared" si="4"/>
        <v>0</v>
      </c>
      <c r="O11" s="12">
        <f t="shared" si="1"/>
        <v>0</v>
      </c>
    </row>
    <row r="12" spans="2:15" x14ac:dyDescent="0.25">
      <c r="B12" s="9" t="s">
        <v>54</v>
      </c>
      <c r="C12" s="10"/>
      <c r="D12" s="11">
        <f t="shared" ref="D12:N12" si="5">C12</f>
        <v>0</v>
      </c>
      <c r="E12" s="11">
        <f t="shared" si="5"/>
        <v>0</v>
      </c>
      <c r="F12" s="11">
        <f t="shared" si="5"/>
        <v>0</v>
      </c>
      <c r="G12" s="11">
        <f t="shared" si="5"/>
        <v>0</v>
      </c>
      <c r="H12" s="11">
        <f t="shared" si="5"/>
        <v>0</v>
      </c>
      <c r="I12" s="11">
        <f t="shared" si="5"/>
        <v>0</v>
      </c>
      <c r="J12" s="11">
        <f t="shared" si="5"/>
        <v>0</v>
      </c>
      <c r="K12" s="11">
        <f t="shared" si="5"/>
        <v>0</v>
      </c>
      <c r="L12" s="11">
        <f t="shared" si="5"/>
        <v>0</v>
      </c>
      <c r="M12" s="11">
        <f t="shared" si="5"/>
        <v>0</v>
      </c>
      <c r="N12" s="11">
        <f t="shared" si="5"/>
        <v>0</v>
      </c>
      <c r="O12" s="12">
        <f t="shared" si="1"/>
        <v>0</v>
      </c>
    </row>
    <row r="13" spans="2:15" x14ac:dyDescent="0.25">
      <c r="B13" s="9" t="s">
        <v>55</v>
      </c>
      <c r="C13" s="10"/>
      <c r="D13" s="11">
        <f t="shared" ref="D13:N13" si="6">C13</f>
        <v>0</v>
      </c>
      <c r="E13" s="11">
        <f t="shared" si="6"/>
        <v>0</v>
      </c>
      <c r="F13" s="11">
        <f t="shared" si="6"/>
        <v>0</v>
      </c>
      <c r="G13" s="11">
        <f t="shared" si="6"/>
        <v>0</v>
      </c>
      <c r="H13" s="11">
        <f t="shared" si="6"/>
        <v>0</v>
      </c>
      <c r="I13" s="11">
        <f t="shared" si="6"/>
        <v>0</v>
      </c>
      <c r="J13" s="11">
        <f t="shared" si="6"/>
        <v>0</v>
      </c>
      <c r="K13" s="11">
        <f t="shared" si="6"/>
        <v>0</v>
      </c>
      <c r="L13" s="11">
        <f t="shared" si="6"/>
        <v>0</v>
      </c>
      <c r="M13" s="11">
        <f t="shared" si="6"/>
        <v>0</v>
      </c>
      <c r="N13" s="11">
        <f t="shared" si="6"/>
        <v>0</v>
      </c>
      <c r="O13" s="12">
        <f t="shared" si="1"/>
        <v>0</v>
      </c>
    </row>
    <row r="14" spans="2:15" x14ac:dyDescent="0.25">
      <c r="B14" s="13" t="s">
        <v>56</v>
      </c>
      <c r="C14" s="12">
        <f t="shared" ref="C14:N14" si="7">SUM(C8:C13)</f>
        <v>7000</v>
      </c>
      <c r="D14" s="12">
        <f t="shared" si="7"/>
        <v>7000</v>
      </c>
      <c r="E14" s="12">
        <f t="shared" si="7"/>
        <v>7000</v>
      </c>
      <c r="F14" s="12">
        <f t="shared" si="7"/>
        <v>7000</v>
      </c>
      <c r="G14" s="12">
        <f t="shared" si="7"/>
        <v>7000</v>
      </c>
      <c r="H14" s="12">
        <f t="shared" si="7"/>
        <v>7000</v>
      </c>
      <c r="I14" s="12">
        <f t="shared" si="7"/>
        <v>7000</v>
      </c>
      <c r="J14" s="12">
        <f t="shared" si="7"/>
        <v>7000</v>
      </c>
      <c r="K14" s="12">
        <f t="shared" si="7"/>
        <v>7000</v>
      </c>
      <c r="L14" s="12">
        <f t="shared" si="7"/>
        <v>7000</v>
      </c>
      <c r="M14" s="12">
        <f t="shared" si="7"/>
        <v>7000</v>
      </c>
      <c r="N14" s="12">
        <f t="shared" si="7"/>
        <v>7000</v>
      </c>
      <c r="O14" s="12">
        <f t="shared" si="1"/>
        <v>84000</v>
      </c>
    </row>
    <row r="15" spans="2:15" x14ac:dyDescent="0.25">
      <c r="B15" s="39" t="s">
        <v>57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</row>
    <row r="16" spans="2:15" x14ac:dyDescent="0.25">
      <c r="B16" s="9" t="s">
        <v>58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2">
        <f t="shared" ref="O16:O25" si="8">SUM(C16:N16)</f>
        <v>0</v>
      </c>
    </row>
    <row r="17" spans="2:17" x14ac:dyDescent="0.25">
      <c r="B17" s="9" t="s">
        <v>59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2">
        <f t="shared" si="8"/>
        <v>0</v>
      </c>
    </row>
    <row r="18" spans="2:17" x14ac:dyDescent="0.25">
      <c r="B18" s="9" t="s">
        <v>60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>
        <f t="shared" si="8"/>
        <v>0</v>
      </c>
    </row>
    <row r="19" spans="2:17" x14ac:dyDescent="0.25">
      <c r="B19" s="9" t="s">
        <v>61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2">
        <f t="shared" si="8"/>
        <v>0</v>
      </c>
    </row>
    <row r="20" spans="2:17" x14ac:dyDescent="0.25">
      <c r="B20" s="9" t="s">
        <v>62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>
        <f t="shared" si="8"/>
        <v>0</v>
      </c>
    </row>
    <row r="21" spans="2:17" x14ac:dyDescent="0.25">
      <c r="B21" s="9" t="s">
        <v>63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>
        <f t="shared" si="8"/>
        <v>0</v>
      </c>
    </row>
    <row r="22" spans="2:17" x14ac:dyDescent="0.25">
      <c r="B22" s="9" t="s">
        <v>64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>
        <f t="shared" si="8"/>
        <v>0</v>
      </c>
    </row>
    <row r="23" spans="2:17" x14ac:dyDescent="0.25">
      <c r="B23" s="9" t="s">
        <v>65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>
        <f t="shared" si="8"/>
        <v>0</v>
      </c>
    </row>
    <row r="24" spans="2:17" x14ac:dyDescent="0.25">
      <c r="B24" s="13" t="s">
        <v>66</v>
      </c>
      <c r="C24" s="12">
        <f t="shared" ref="C24:N24" si="9">SUM(C16:C23)</f>
        <v>0</v>
      </c>
      <c r="D24" s="12">
        <f t="shared" si="9"/>
        <v>0</v>
      </c>
      <c r="E24" s="12">
        <f t="shared" si="9"/>
        <v>0</v>
      </c>
      <c r="F24" s="12">
        <f t="shared" si="9"/>
        <v>0</v>
      </c>
      <c r="G24" s="12">
        <f t="shared" si="9"/>
        <v>0</v>
      </c>
      <c r="H24" s="12">
        <f t="shared" si="9"/>
        <v>0</v>
      </c>
      <c r="I24" s="12">
        <f t="shared" si="9"/>
        <v>0</v>
      </c>
      <c r="J24" s="12">
        <f t="shared" si="9"/>
        <v>0</v>
      </c>
      <c r="K24" s="12">
        <f t="shared" si="9"/>
        <v>0</v>
      </c>
      <c r="L24" s="12">
        <f t="shared" si="9"/>
        <v>0</v>
      </c>
      <c r="M24" s="12">
        <f t="shared" si="9"/>
        <v>0</v>
      </c>
      <c r="N24" s="12">
        <f t="shared" si="9"/>
        <v>0</v>
      </c>
      <c r="O24" s="12">
        <f t="shared" si="8"/>
        <v>0</v>
      </c>
    </row>
    <row r="25" spans="2:17" x14ac:dyDescent="0.25">
      <c r="B25" s="14" t="s">
        <v>67</v>
      </c>
      <c r="C25" s="15">
        <f t="shared" ref="C25:N25" si="10">C14+C24</f>
        <v>7000</v>
      </c>
      <c r="D25" s="15">
        <f t="shared" si="10"/>
        <v>7000</v>
      </c>
      <c r="E25" s="15">
        <f t="shared" si="10"/>
        <v>7000</v>
      </c>
      <c r="F25" s="15">
        <f t="shared" si="10"/>
        <v>7000</v>
      </c>
      <c r="G25" s="15">
        <f t="shared" si="10"/>
        <v>7000</v>
      </c>
      <c r="H25" s="15">
        <f t="shared" si="10"/>
        <v>7000</v>
      </c>
      <c r="I25" s="15">
        <f t="shared" si="10"/>
        <v>7000</v>
      </c>
      <c r="J25" s="15">
        <f t="shared" si="10"/>
        <v>7000</v>
      </c>
      <c r="K25" s="15">
        <f t="shared" si="10"/>
        <v>7000</v>
      </c>
      <c r="L25" s="15">
        <f t="shared" si="10"/>
        <v>7000</v>
      </c>
      <c r="M25" s="15">
        <f t="shared" si="10"/>
        <v>7000</v>
      </c>
      <c r="N25" s="15">
        <f t="shared" si="10"/>
        <v>7000</v>
      </c>
      <c r="O25" s="15">
        <f t="shared" si="8"/>
        <v>84000</v>
      </c>
    </row>
    <row r="27" spans="2:17" x14ac:dyDescent="0.25">
      <c r="B27" s="39" t="s">
        <v>68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</row>
    <row r="28" spans="2:17" x14ac:dyDescent="0.25">
      <c r="B28" s="9" t="s">
        <v>69</v>
      </c>
      <c r="C28" s="10">
        <v>1200</v>
      </c>
      <c r="D28" s="11">
        <f t="shared" ref="D28:N28" si="11">C28</f>
        <v>1200</v>
      </c>
      <c r="E28" s="11">
        <f t="shared" si="11"/>
        <v>1200</v>
      </c>
      <c r="F28" s="11">
        <f t="shared" si="11"/>
        <v>1200</v>
      </c>
      <c r="G28" s="11">
        <f t="shared" si="11"/>
        <v>1200</v>
      </c>
      <c r="H28" s="11">
        <f t="shared" si="11"/>
        <v>1200</v>
      </c>
      <c r="I28" s="11">
        <f t="shared" si="11"/>
        <v>1200</v>
      </c>
      <c r="J28" s="11">
        <f t="shared" si="11"/>
        <v>1200</v>
      </c>
      <c r="K28" s="11">
        <f t="shared" si="11"/>
        <v>1200</v>
      </c>
      <c r="L28" s="11">
        <f t="shared" si="11"/>
        <v>1200</v>
      </c>
      <c r="M28" s="11">
        <f t="shared" si="11"/>
        <v>1200</v>
      </c>
      <c r="N28" s="11">
        <f t="shared" si="11"/>
        <v>1200</v>
      </c>
      <c r="O28" s="12">
        <f t="shared" ref="O28:O42" si="12">SUM(C28:N28)</f>
        <v>14400</v>
      </c>
      <c r="Q28" s="16">
        <f t="shared" ref="Q28:Q41" si="13">O28-ROW()/1000000000</f>
        <v>14399.999999972</v>
      </c>
    </row>
    <row r="29" spans="2:17" x14ac:dyDescent="0.25">
      <c r="B29" s="9" t="s">
        <v>70</v>
      </c>
      <c r="C29" s="10"/>
      <c r="D29" s="11">
        <f t="shared" ref="D29:N29" si="14">C29</f>
        <v>0</v>
      </c>
      <c r="E29" s="11">
        <f t="shared" si="14"/>
        <v>0</v>
      </c>
      <c r="F29" s="11">
        <f t="shared" si="14"/>
        <v>0</v>
      </c>
      <c r="G29" s="11">
        <f t="shared" si="14"/>
        <v>0</v>
      </c>
      <c r="H29" s="11">
        <f t="shared" si="14"/>
        <v>0</v>
      </c>
      <c r="I29" s="11">
        <f t="shared" si="14"/>
        <v>0</v>
      </c>
      <c r="J29" s="11">
        <f t="shared" si="14"/>
        <v>0</v>
      </c>
      <c r="K29" s="11">
        <f t="shared" si="14"/>
        <v>0</v>
      </c>
      <c r="L29" s="11">
        <f t="shared" si="14"/>
        <v>0</v>
      </c>
      <c r="M29" s="11">
        <f t="shared" si="14"/>
        <v>0</v>
      </c>
      <c r="N29" s="11">
        <f t="shared" si="14"/>
        <v>0</v>
      </c>
      <c r="O29" s="12">
        <f t="shared" si="12"/>
        <v>0</v>
      </c>
      <c r="Q29" s="16">
        <f t="shared" si="13"/>
        <v>-2.9000000000000002E-8</v>
      </c>
    </row>
    <row r="30" spans="2:17" x14ac:dyDescent="0.25">
      <c r="B30" s="9" t="s">
        <v>71</v>
      </c>
      <c r="C30" s="10"/>
      <c r="D30" s="11">
        <f t="shared" ref="D30:N30" si="15">C30</f>
        <v>0</v>
      </c>
      <c r="E30" s="11">
        <f t="shared" si="15"/>
        <v>0</v>
      </c>
      <c r="F30" s="11">
        <f t="shared" si="15"/>
        <v>0</v>
      </c>
      <c r="G30" s="11">
        <f t="shared" si="15"/>
        <v>0</v>
      </c>
      <c r="H30" s="11">
        <f t="shared" si="15"/>
        <v>0</v>
      </c>
      <c r="I30" s="11">
        <f t="shared" si="15"/>
        <v>0</v>
      </c>
      <c r="J30" s="11">
        <f t="shared" si="15"/>
        <v>0</v>
      </c>
      <c r="K30" s="11">
        <f t="shared" si="15"/>
        <v>0</v>
      </c>
      <c r="L30" s="11">
        <f t="shared" si="15"/>
        <v>0</v>
      </c>
      <c r="M30" s="11">
        <f t="shared" si="15"/>
        <v>0</v>
      </c>
      <c r="N30" s="11">
        <f t="shared" si="15"/>
        <v>0</v>
      </c>
      <c r="O30" s="12">
        <f t="shared" si="12"/>
        <v>0</v>
      </c>
      <c r="Q30" s="16">
        <f t="shared" si="13"/>
        <v>-2.9999999999999997E-8</v>
      </c>
    </row>
    <row r="31" spans="2:17" x14ac:dyDescent="0.25">
      <c r="B31" s="9" t="s">
        <v>72</v>
      </c>
      <c r="C31" s="10"/>
      <c r="D31" s="11">
        <f t="shared" ref="D31:N31" si="16">C31</f>
        <v>0</v>
      </c>
      <c r="E31" s="11">
        <f t="shared" si="16"/>
        <v>0</v>
      </c>
      <c r="F31" s="11">
        <f t="shared" si="16"/>
        <v>0</v>
      </c>
      <c r="G31" s="11">
        <f t="shared" si="16"/>
        <v>0</v>
      </c>
      <c r="H31" s="11">
        <f t="shared" si="16"/>
        <v>0</v>
      </c>
      <c r="I31" s="11">
        <f t="shared" si="16"/>
        <v>0</v>
      </c>
      <c r="J31" s="11">
        <f t="shared" si="16"/>
        <v>0</v>
      </c>
      <c r="K31" s="11">
        <f t="shared" si="16"/>
        <v>0</v>
      </c>
      <c r="L31" s="11">
        <f t="shared" si="16"/>
        <v>0</v>
      </c>
      <c r="M31" s="11">
        <f t="shared" si="16"/>
        <v>0</v>
      </c>
      <c r="N31" s="11">
        <f t="shared" si="16"/>
        <v>0</v>
      </c>
      <c r="O31" s="12">
        <f t="shared" si="12"/>
        <v>0</v>
      </c>
      <c r="Q31" s="16">
        <f t="shared" si="13"/>
        <v>-3.1E-8</v>
      </c>
    </row>
    <row r="32" spans="2:17" x14ac:dyDescent="0.25">
      <c r="B32" s="9" t="s">
        <v>73</v>
      </c>
      <c r="C32" s="10"/>
      <c r="D32" s="11">
        <f t="shared" ref="D32:N32" si="17">C32</f>
        <v>0</v>
      </c>
      <c r="E32" s="11">
        <f t="shared" si="17"/>
        <v>0</v>
      </c>
      <c r="F32" s="11">
        <f t="shared" si="17"/>
        <v>0</v>
      </c>
      <c r="G32" s="11">
        <f t="shared" si="17"/>
        <v>0</v>
      </c>
      <c r="H32" s="11">
        <f t="shared" si="17"/>
        <v>0</v>
      </c>
      <c r="I32" s="11">
        <f t="shared" si="17"/>
        <v>0</v>
      </c>
      <c r="J32" s="11">
        <f t="shared" si="17"/>
        <v>0</v>
      </c>
      <c r="K32" s="11">
        <f t="shared" si="17"/>
        <v>0</v>
      </c>
      <c r="L32" s="11">
        <f t="shared" si="17"/>
        <v>0</v>
      </c>
      <c r="M32" s="11">
        <f t="shared" si="17"/>
        <v>0</v>
      </c>
      <c r="N32" s="11">
        <f t="shared" si="17"/>
        <v>0</v>
      </c>
      <c r="O32" s="12">
        <f t="shared" si="12"/>
        <v>0</v>
      </c>
      <c r="Q32" s="16">
        <f t="shared" si="13"/>
        <v>-3.2000000000000002E-8</v>
      </c>
    </row>
    <row r="33" spans="2:17" x14ac:dyDescent="0.25">
      <c r="B33" s="9" t="s">
        <v>74</v>
      </c>
      <c r="C33" s="10"/>
      <c r="D33" s="11">
        <f t="shared" ref="D33:N33" si="18">C33</f>
        <v>0</v>
      </c>
      <c r="E33" s="11">
        <f t="shared" si="18"/>
        <v>0</v>
      </c>
      <c r="F33" s="11">
        <f t="shared" si="18"/>
        <v>0</v>
      </c>
      <c r="G33" s="11">
        <f t="shared" si="18"/>
        <v>0</v>
      </c>
      <c r="H33" s="11">
        <f t="shared" si="18"/>
        <v>0</v>
      </c>
      <c r="I33" s="11">
        <f t="shared" si="18"/>
        <v>0</v>
      </c>
      <c r="J33" s="11">
        <f t="shared" si="18"/>
        <v>0</v>
      </c>
      <c r="K33" s="11">
        <f t="shared" si="18"/>
        <v>0</v>
      </c>
      <c r="L33" s="11">
        <f t="shared" si="18"/>
        <v>0</v>
      </c>
      <c r="M33" s="11">
        <f t="shared" si="18"/>
        <v>0</v>
      </c>
      <c r="N33" s="11">
        <f t="shared" si="18"/>
        <v>0</v>
      </c>
      <c r="O33" s="12">
        <f t="shared" si="12"/>
        <v>0</v>
      </c>
      <c r="Q33" s="16">
        <f t="shared" si="13"/>
        <v>-3.2999999999999998E-8</v>
      </c>
    </row>
    <row r="34" spans="2:17" x14ac:dyDescent="0.25">
      <c r="B34" s="9" t="s">
        <v>75</v>
      </c>
      <c r="C34" s="10"/>
      <c r="D34" s="11">
        <f t="shared" ref="D34:N34" si="19">C34</f>
        <v>0</v>
      </c>
      <c r="E34" s="11">
        <f t="shared" si="19"/>
        <v>0</v>
      </c>
      <c r="F34" s="11">
        <f t="shared" si="19"/>
        <v>0</v>
      </c>
      <c r="G34" s="11">
        <f t="shared" si="19"/>
        <v>0</v>
      </c>
      <c r="H34" s="11">
        <f t="shared" si="19"/>
        <v>0</v>
      </c>
      <c r="I34" s="11">
        <f t="shared" si="19"/>
        <v>0</v>
      </c>
      <c r="J34" s="11">
        <f t="shared" si="19"/>
        <v>0</v>
      </c>
      <c r="K34" s="11">
        <f t="shared" si="19"/>
        <v>0</v>
      </c>
      <c r="L34" s="11">
        <f t="shared" si="19"/>
        <v>0</v>
      </c>
      <c r="M34" s="11">
        <f t="shared" si="19"/>
        <v>0</v>
      </c>
      <c r="N34" s="11">
        <f t="shared" si="19"/>
        <v>0</v>
      </c>
      <c r="O34" s="12">
        <f t="shared" si="12"/>
        <v>0</v>
      </c>
      <c r="Q34" s="16">
        <f t="shared" si="13"/>
        <v>-3.4E-8</v>
      </c>
    </row>
    <row r="35" spans="2:17" x14ac:dyDescent="0.25">
      <c r="B35" s="9" t="s">
        <v>76</v>
      </c>
      <c r="C35" s="10">
        <v>45</v>
      </c>
      <c r="D35" s="11">
        <f t="shared" ref="D35:N35" si="20">C35</f>
        <v>45</v>
      </c>
      <c r="E35" s="11">
        <f t="shared" si="20"/>
        <v>45</v>
      </c>
      <c r="F35" s="11">
        <f t="shared" si="20"/>
        <v>45</v>
      </c>
      <c r="G35" s="11">
        <f t="shared" si="20"/>
        <v>45</v>
      </c>
      <c r="H35" s="11">
        <f t="shared" si="20"/>
        <v>45</v>
      </c>
      <c r="I35" s="11">
        <f t="shared" si="20"/>
        <v>45</v>
      </c>
      <c r="J35" s="11">
        <f t="shared" si="20"/>
        <v>45</v>
      </c>
      <c r="K35" s="11">
        <f t="shared" si="20"/>
        <v>45</v>
      </c>
      <c r="L35" s="11">
        <f t="shared" si="20"/>
        <v>45</v>
      </c>
      <c r="M35" s="11">
        <f t="shared" si="20"/>
        <v>45</v>
      </c>
      <c r="N35" s="11">
        <f t="shared" si="20"/>
        <v>45</v>
      </c>
      <c r="O35" s="12">
        <f t="shared" si="12"/>
        <v>540</v>
      </c>
      <c r="Q35" s="16">
        <f t="shared" si="13"/>
        <v>539.99999996500003</v>
      </c>
    </row>
    <row r="36" spans="2:17" x14ac:dyDescent="0.25">
      <c r="B36" s="9" t="s">
        <v>77</v>
      </c>
      <c r="C36" s="10"/>
      <c r="D36" s="11">
        <f t="shared" ref="D36:N36" si="21">C36</f>
        <v>0</v>
      </c>
      <c r="E36" s="11">
        <f t="shared" si="21"/>
        <v>0</v>
      </c>
      <c r="F36" s="11">
        <f t="shared" si="21"/>
        <v>0</v>
      </c>
      <c r="G36" s="11">
        <f t="shared" si="21"/>
        <v>0</v>
      </c>
      <c r="H36" s="11">
        <f t="shared" si="21"/>
        <v>0</v>
      </c>
      <c r="I36" s="11">
        <f t="shared" si="21"/>
        <v>0</v>
      </c>
      <c r="J36" s="11">
        <f t="shared" si="21"/>
        <v>0</v>
      </c>
      <c r="K36" s="11">
        <f t="shared" si="21"/>
        <v>0</v>
      </c>
      <c r="L36" s="11">
        <f t="shared" si="21"/>
        <v>0</v>
      </c>
      <c r="M36" s="11">
        <f t="shared" si="21"/>
        <v>0</v>
      </c>
      <c r="N36" s="11">
        <f t="shared" si="21"/>
        <v>0</v>
      </c>
      <c r="O36" s="12">
        <f t="shared" si="12"/>
        <v>0</v>
      </c>
      <c r="Q36" s="16">
        <f t="shared" si="13"/>
        <v>-3.5999999999999998E-8</v>
      </c>
    </row>
    <row r="37" spans="2:17" x14ac:dyDescent="0.25">
      <c r="B37" s="9" t="s">
        <v>78</v>
      </c>
      <c r="C37" s="10"/>
      <c r="D37" s="11">
        <f t="shared" ref="D37:N37" si="22">C37</f>
        <v>0</v>
      </c>
      <c r="E37" s="11">
        <f t="shared" si="22"/>
        <v>0</v>
      </c>
      <c r="F37" s="11">
        <f t="shared" si="22"/>
        <v>0</v>
      </c>
      <c r="G37" s="11">
        <f t="shared" si="22"/>
        <v>0</v>
      </c>
      <c r="H37" s="11">
        <f t="shared" si="22"/>
        <v>0</v>
      </c>
      <c r="I37" s="11">
        <f t="shared" si="22"/>
        <v>0</v>
      </c>
      <c r="J37" s="11">
        <f t="shared" si="22"/>
        <v>0</v>
      </c>
      <c r="K37" s="11">
        <f t="shared" si="22"/>
        <v>0</v>
      </c>
      <c r="L37" s="11">
        <f t="shared" si="22"/>
        <v>0</v>
      </c>
      <c r="M37" s="11">
        <f t="shared" si="22"/>
        <v>0</v>
      </c>
      <c r="N37" s="11">
        <f t="shared" si="22"/>
        <v>0</v>
      </c>
      <c r="O37" s="12">
        <f t="shared" si="12"/>
        <v>0</v>
      </c>
      <c r="Q37" s="16">
        <f t="shared" si="13"/>
        <v>-3.7E-8</v>
      </c>
    </row>
    <row r="38" spans="2:17" x14ac:dyDescent="0.25">
      <c r="B38" s="9" t="s">
        <v>79</v>
      </c>
      <c r="C38" s="10"/>
      <c r="D38" s="11">
        <f t="shared" ref="D38:N38" si="23">C38</f>
        <v>0</v>
      </c>
      <c r="E38" s="11">
        <f t="shared" si="23"/>
        <v>0</v>
      </c>
      <c r="F38" s="11">
        <f t="shared" si="23"/>
        <v>0</v>
      </c>
      <c r="G38" s="11">
        <f t="shared" si="23"/>
        <v>0</v>
      </c>
      <c r="H38" s="11">
        <f t="shared" si="23"/>
        <v>0</v>
      </c>
      <c r="I38" s="11">
        <f t="shared" si="23"/>
        <v>0</v>
      </c>
      <c r="J38" s="11">
        <f t="shared" si="23"/>
        <v>0</v>
      </c>
      <c r="K38" s="11">
        <f t="shared" si="23"/>
        <v>0</v>
      </c>
      <c r="L38" s="11">
        <f t="shared" si="23"/>
        <v>0</v>
      </c>
      <c r="M38" s="11">
        <f t="shared" si="23"/>
        <v>0</v>
      </c>
      <c r="N38" s="11">
        <f t="shared" si="23"/>
        <v>0</v>
      </c>
      <c r="O38" s="12">
        <f t="shared" si="12"/>
        <v>0</v>
      </c>
      <c r="Q38" s="16">
        <f t="shared" si="13"/>
        <v>-3.8000000000000003E-8</v>
      </c>
    </row>
    <row r="39" spans="2:17" x14ac:dyDescent="0.25">
      <c r="B39" s="9" t="s">
        <v>80</v>
      </c>
      <c r="C39" s="10"/>
      <c r="D39" s="11">
        <f t="shared" ref="D39:N39" si="24">C39</f>
        <v>0</v>
      </c>
      <c r="E39" s="11">
        <f t="shared" si="24"/>
        <v>0</v>
      </c>
      <c r="F39" s="11">
        <f t="shared" si="24"/>
        <v>0</v>
      </c>
      <c r="G39" s="11">
        <f t="shared" si="24"/>
        <v>0</v>
      </c>
      <c r="H39" s="11">
        <f t="shared" si="24"/>
        <v>0</v>
      </c>
      <c r="I39" s="11">
        <f t="shared" si="24"/>
        <v>0</v>
      </c>
      <c r="J39" s="11">
        <f t="shared" si="24"/>
        <v>0</v>
      </c>
      <c r="K39" s="11">
        <f t="shared" si="24"/>
        <v>0</v>
      </c>
      <c r="L39" s="11">
        <f t="shared" si="24"/>
        <v>0</v>
      </c>
      <c r="M39" s="11">
        <f t="shared" si="24"/>
        <v>0</v>
      </c>
      <c r="N39" s="11">
        <f t="shared" si="24"/>
        <v>0</v>
      </c>
      <c r="O39" s="12">
        <f t="shared" si="12"/>
        <v>0</v>
      </c>
      <c r="Q39" s="16">
        <f t="shared" si="13"/>
        <v>-3.8999999999999998E-8</v>
      </c>
    </row>
    <row r="40" spans="2:17" x14ac:dyDescent="0.25">
      <c r="B40" s="9" t="s">
        <v>81</v>
      </c>
      <c r="C40" s="10"/>
      <c r="D40" s="11">
        <f t="shared" ref="D40:N40" si="25">C40</f>
        <v>0</v>
      </c>
      <c r="E40" s="11">
        <f t="shared" si="25"/>
        <v>0</v>
      </c>
      <c r="F40" s="11">
        <f t="shared" si="25"/>
        <v>0</v>
      </c>
      <c r="G40" s="11">
        <f t="shared" si="25"/>
        <v>0</v>
      </c>
      <c r="H40" s="11">
        <f t="shared" si="25"/>
        <v>0</v>
      </c>
      <c r="I40" s="11">
        <f t="shared" si="25"/>
        <v>0</v>
      </c>
      <c r="J40" s="11">
        <f t="shared" si="25"/>
        <v>0</v>
      </c>
      <c r="K40" s="11">
        <f t="shared" si="25"/>
        <v>0</v>
      </c>
      <c r="L40" s="11">
        <f t="shared" si="25"/>
        <v>0</v>
      </c>
      <c r="M40" s="11">
        <f t="shared" si="25"/>
        <v>0</v>
      </c>
      <c r="N40" s="11">
        <f t="shared" si="25"/>
        <v>0</v>
      </c>
      <c r="O40" s="12">
        <f t="shared" si="12"/>
        <v>0</v>
      </c>
      <c r="Q40" s="16">
        <f t="shared" si="13"/>
        <v>-4.0000000000000001E-8</v>
      </c>
    </row>
    <row r="41" spans="2:17" x14ac:dyDescent="0.25">
      <c r="B41" s="9" t="s">
        <v>82</v>
      </c>
      <c r="C41" s="10"/>
      <c r="D41" s="11">
        <f t="shared" ref="D41:N41" si="26">C41</f>
        <v>0</v>
      </c>
      <c r="E41" s="11">
        <f t="shared" si="26"/>
        <v>0</v>
      </c>
      <c r="F41" s="11">
        <f t="shared" si="26"/>
        <v>0</v>
      </c>
      <c r="G41" s="11">
        <f t="shared" si="26"/>
        <v>0</v>
      </c>
      <c r="H41" s="11">
        <f t="shared" si="26"/>
        <v>0</v>
      </c>
      <c r="I41" s="11">
        <f t="shared" si="26"/>
        <v>0</v>
      </c>
      <c r="J41" s="11">
        <f t="shared" si="26"/>
        <v>0</v>
      </c>
      <c r="K41" s="11">
        <f t="shared" si="26"/>
        <v>0</v>
      </c>
      <c r="L41" s="11">
        <f t="shared" si="26"/>
        <v>0</v>
      </c>
      <c r="M41" s="11">
        <f t="shared" si="26"/>
        <v>0</v>
      </c>
      <c r="N41" s="11">
        <f t="shared" si="26"/>
        <v>0</v>
      </c>
      <c r="O41" s="12">
        <f t="shared" si="12"/>
        <v>0</v>
      </c>
      <c r="Q41" s="16">
        <f t="shared" si="13"/>
        <v>-4.1000000000000003E-8</v>
      </c>
    </row>
    <row r="42" spans="2:17" x14ac:dyDescent="0.25">
      <c r="B42" s="13" t="s">
        <v>83</v>
      </c>
      <c r="C42" s="12">
        <f t="shared" ref="C42:N42" si="27">SUM(C28:C41)</f>
        <v>1245</v>
      </c>
      <c r="D42" s="12">
        <f t="shared" si="27"/>
        <v>1245</v>
      </c>
      <c r="E42" s="12">
        <f t="shared" si="27"/>
        <v>1245</v>
      </c>
      <c r="F42" s="12">
        <f t="shared" si="27"/>
        <v>1245</v>
      </c>
      <c r="G42" s="12">
        <f t="shared" si="27"/>
        <v>1245</v>
      </c>
      <c r="H42" s="12">
        <f t="shared" si="27"/>
        <v>1245</v>
      </c>
      <c r="I42" s="12">
        <f t="shared" si="27"/>
        <v>1245</v>
      </c>
      <c r="J42" s="12">
        <f t="shared" si="27"/>
        <v>1245</v>
      </c>
      <c r="K42" s="12">
        <f t="shared" si="27"/>
        <v>1245</v>
      </c>
      <c r="L42" s="12">
        <f t="shared" si="27"/>
        <v>1245</v>
      </c>
      <c r="M42" s="12">
        <f t="shared" si="27"/>
        <v>1245</v>
      </c>
      <c r="N42" s="12">
        <f t="shared" si="27"/>
        <v>1245</v>
      </c>
      <c r="O42" s="12">
        <f t="shared" si="12"/>
        <v>14940</v>
      </c>
    </row>
    <row r="43" spans="2:17" x14ac:dyDescent="0.25">
      <c r="B43" s="39" t="s">
        <v>84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2:17" x14ac:dyDescent="0.25">
      <c r="B44" s="9" t="s">
        <v>85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2">
        <f t="shared" ref="O44:O57" si="28">SUM(C44:N44)</f>
        <v>0</v>
      </c>
      <c r="Q44" s="16">
        <f t="shared" ref="Q44:Q55" si="29">O44-ROW()/1000000000</f>
        <v>-4.3999999999999997E-8</v>
      </c>
    </row>
    <row r="45" spans="2:17" x14ac:dyDescent="0.25">
      <c r="B45" s="9" t="s">
        <v>86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2">
        <f t="shared" si="28"/>
        <v>0</v>
      </c>
      <c r="Q45" s="16">
        <f t="shared" si="29"/>
        <v>-4.4999999999999999E-8</v>
      </c>
    </row>
    <row r="46" spans="2:17" x14ac:dyDescent="0.25">
      <c r="B46" s="9" t="s">
        <v>87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2">
        <f t="shared" si="28"/>
        <v>0</v>
      </c>
      <c r="Q46" s="16">
        <f t="shared" si="29"/>
        <v>-4.6000000000000002E-8</v>
      </c>
    </row>
    <row r="47" spans="2:17" x14ac:dyDescent="0.25">
      <c r="B47" s="9" t="s">
        <v>88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2">
        <f t="shared" si="28"/>
        <v>0</v>
      </c>
      <c r="Q47" s="16">
        <f t="shared" si="29"/>
        <v>-4.6999999999999997E-8</v>
      </c>
    </row>
    <row r="48" spans="2:17" x14ac:dyDescent="0.25">
      <c r="B48" s="9" t="s">
        <v>89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2">
        <f t="shared" si="28"/>
        <v>0</v>
      </c>
      <c r="Q48" s="16">
        <f t="shared" si="29"/>
        <v>-4.8E-8</v>
      </c>
    </row>
    <row r="49" spans="2:17" x14ac:dyDescent="0.25">
      <c r="B49" s="9" t="s">
        <v>90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2">
        <f t="shared" si="28"/>
        <v>0</v>
      </c>
      <c r="Q49" s="16">
        <f t="shared" si="29"/>
        <v>-4.9000000000000002E-8</v>
      </c>
    </row>
    <row r="50" spans="2:17" x14ac:dyDescent="0.25">
      <c r="B50" s="9" t="s">
        <v>91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2">
        <f t="shared" si="28"/>
        <v>0</v>
      </c>
      <c r="Q50" s="16">
        <f t="shared" si="29"/>
        <v>-4.9999999999999998E-8</v>
      </c>
    </row>
    <row r="51" spans="2:17" x14ac:dyDescent="0.25">
      <c r="B51" s="9" t="s">
        <v>92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2">
        <f t="shared" si="28"/>
        <v>0</v>
      </c>
      <c r="Q51" s="16">
        <f t="shared" si="29"/>
        <v>-5.1E-8</v>
      </c>
    </row>
    <row r="52" spans="2:17" x14ac:dyDescent="0.25">
      <c r="B52" s="9" t="s">
        <v>93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2">
        <f t="shared" si="28"/>
        <v>0</v>
      </c>
      <c r="Q52" s="16">
        <f t="shared" si="29"/>
        <v>-5.2000000000000002E-8</v>
      </c>
    </row>
    <row r="53" spans="2:17" x14ac:dyDescent="0.25">
      <c r="B53" s="9" t="s">
        <v>94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2">
        <f t="shared" si="28"/>
        <v>0</v>
      </c>
      <c r="Q53" s="16">
        <f t="shared" si="29"/>
        <v>-5.2999999999999998E-8</v>
      </c>
    </row>
    <row r="54" spans="2:17" x14ac:dyDescent="0.25">
      <c r="B54" s="9" t="s">
        <v>95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2">
        <f t="shared" si="28"/>
        <v>0</v>
      </c>
      <c r="Q54" s="16">
        <f t="shared" si="29"/>
        <v>-5.4E-8</v>
      </c>
    </row>
    <row r="55" spans="2:17" x14ac:dyDescent="0.25">
      <c r="B55" s="9" t="s">
        <v>96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2">
        <f t="shared" si="28"/>
        <v>0</v>
      </c>
      <c r="Q55" s="16">
        <f t="shared" si="29"/>
        <v>-5.5000000000000003E-8</v>
      </c>
    </row>
    <row r="56" spans="2:17" x14ac:dyDescent="0.25">
      <c r="B56" s="13" t="s">
        <v>97</v>
      </c>
      <c r="C56" s="12">
        <f t="shared" ref="C56:N56" si="30">SUM(C44:C55)</f>
        <v>0</v>
      </c>
      <c r="D56" s="12">
        <f t="shared" si="30"/>
        <v>0</v>
      </c>
      <c r="E56" s="12">
        <f t="shared" si="30"/>
        <v>0</v>
      </c>
      <c r="F56" s="12">
        <f t="shared" si="30"/>
        <v>0</v>
      </c>
      <c r="G56" s="12">
        <f t="shared" si="30"/>
        <v>0</v>
      </c>
      <c r="H56" s="12">
        <f t="shared" si="30"/>
        <v>0</v>
      </c>
      <c r="I56" s="12">
        <f t="shared" si="30"/>
        <v>0</v>
      </c>
      <c r="J56" s="12">
        <f t="shared" si="30"/>
        <v>0</v>
      </c>
      <c r="K56" s="12">
        <f t="shared" si="30"/>
        <v>0</v>
      </c>
      <c r="L56" s="12">
        <f t="shared" si="30"/>
        <v>0</v>
      </c>
      <c r="M56" s="12">
        <f t="shared" si="30"/>
        <v>0</v>
      </c>
      <c r="N56" s="12">
        <f t="shared" si="30"/>
        <v>0</v>
      </c>
      <c r="O56" s="12">
        <f t="shared" si="28"/>
        <v>0</v>
      </c>
    </row>
    <row r="57" spans="2:17" x14ac:dyDescent="0.25">
      <c r="B57" s="14" t="s">
        <v>98</v>
      </c>
      <c r="C57" s="15">
        <f t="shared" ref="C57:N57" si="31">C42+C56</f>
        <v>1245</v>
      </c>
      <c r="D57" s="15">
        <f t="shared" si="31"/>
        <v>1245</v>
      </c>
      <c r="E57" s="15">
        <f t="shared" si="31"/>
        <v>1245</v>
      </c>
      <c r="F57" s="15">
        <f t="shared" si="31"/>
        <v>1245</v>
      </c>
      <c r="G57" s="15">
        <f t="shared" si="31"/>
        <v>1245</v>
      </c>
      <c r="H57" s="15">
        <f t="shared" si="31"/>
        <v>1245</v>
      </c>
      <c r="I57" s="15">
        <f t="shared" si="31"/>
        <v>1245</v>
      </c>
      <c r="J57" s="15">
        <f t="shared" si="31"/>
        <v>1245</v>
      </c>
      <c r="K57" s="15">
        <f t="shared" si="31"/>
        <v>1245</v>
      </c>
      <c r="L57" s="15">
        <f t="shared" si="31"/>
        <v>1245</v>
      </c>
      <c r="M57" s="15">
        <f t="shared" si="31"/>
        <v>1245</v>
      </c>
      <c r="N57" s="15">
        <f t="shared" si="31"/>
        <v>1245</v>
      </c>
      <c r="O57" s="15">
        <f t="shared" si="28"/>
        <v>14940</v>
      </c>
    </row>
    <row r="59" spans="2:17" x14ac:dyDescent="0.25">
      <c r="B59" s="14" t="s">
        <v>99</v>
      </c>
      <c r="C59" s="15">
        <f t="shared" ref="C59:N59" si="32">C25-C57</f>
        <v>5755</v>
      </c>
      <c r="D59" s="15">
        <f t="shared" si="32"/>
        <v>5755</v>
      </c>
      <c r="E59" s="15">
        <f t="shared" si="32"/>
        <v>5755</v>
      </c>
      <c r="F59" s="15">
        <f t="shared" si="32"/>
        <v>5755</v>
      </c>
      <c r="G59" s="15">
        <f t="shared" si="32"/>
        <v>5755</v>
      </c>
      <c r="H59" s="15">
        <f t="shared" si="32"/>
        <v>5755</v>
      </c>
      <c r="I59" s="15">
        <f t="shared" si="32"/>
        <v>5755</v>
      </c>
      <c r="J59" s="15">
        <f t="shared" si="32"/>
        <v>5755</v>
      </c>
      <c r="K59" s="15">
        <f t="shared" si="32"/>
        <v>5755</v>
      </c>
      <c r="L59" s="15">
        <f t="shared" si="32"/>
        <v>5755</v>
      </c>
      <c r="M59" s="15">
        <f t="shared" si="32"/>
        <v>5755</v>
      </c>
      <c r="N59" s="15">
        <f t="shared" si="32"/>
        <v>5755</v>
      </c>
      <c r="O59" s="15">
        <f>SUM(C59:N59)</f>
        <v>69060</v>
      </c>
    </row>
  </sheetData>
  <sheetProtection sheet="1" formatColumns="0"/>
  <mergeCells count="8">
    <mergeCell ref="B15:O15"/>
    <mergeCell ref="B27:O27"/>
    <mergeCell ref="B43:O43"/>
    <mergeCell ref="B1:O1"/>
    <mergeCell ref="B2:O2"/>
    <mergeCell ref="B3:O3"/>
    <mergeCell ref="E4:G4"/>
    <mergeCell ref="B7:O7"/>
  </mergeCells>
  <conditionalFormatting sqref="C59:O59">
    <cfRule type="cellIs" dxfId="15" priority="2" operator="lessThan">
      <formula>0</formula>
    </cfRule>
    <cfRule type="cellIs" dxfId="14" priority="3" operator="greaterThan">
      <formula>0</formula>
    </cfRule>
  </conditionalFormatting>
  <dataValidations count="3">
    <dataValidation type="decimal" operator="greaterThanOrEqual" allowBlank="1" showInputMessage="1" showErrorMessage="1" errorTitle="Valor inválido" error="Digite um valor numérico igual ou maior que zero. Despesas também são digitadas como número positivo." promptTitle="Valor do mês" prompt="Digite o valor deste mês (sempre positivo). Em itens fixos, os meses seguintes se repetem." sqref="C8:N13 C16:N23 C28:N41 C44:N55" xr:uid="{00000000-0002-0000-0100-000000000000}">
      <formula1>0</formula1>
      <formula2>0</formula2>
    </dataValidation>
    <dataValidation type="whole" showErrorMessage="1" errorTitle="Ano inválido" error="Informe um ano entre 2000 e 2100." sqref="C4" xr:uid="{00000000-0002-0000-0100-000001000000}">
      <formula1>2000</formula1>
      <formula2>2100</formula2>
    </dataValidation>
    <dataValidation type="decimal" showErrorMessage="1" errorTitle="Percentual inválido" error="Informe um percentual entre 0% e 100% (ex.: 80%)." sqref="H4" xr:uid="{00000000-0002-0000-0100-000002000000}">
      <formula1>0</formula1>
      <formula2>1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8"/>
  <sheetViews>
    <sheetView showGridLines="0" zoomScaleNormal="100" workbookViewId="0">
      <selection sqref="A1:I1"/>
    </sheetView>
  </sheetViews>
  <sheetFormatPr defaultColWidth="8.7109375" defaultRowHeight="15" x14ac:dyDescent="0.25"/>
  <cols>
    <col min="1" max="1" width="5" customWidth="1"/>
    <col min="2" max="2" width="13" customWidth="1"/>
    <col min="3" max="8" width="16" customWidth="1"/>
    <col min="9" max="9" width="18" customWidth="1"/>
    <col min="10" max="10" width="3" customWidth="1"/>
    <col min="11" max="12" width="12" hidden="1" customWidth="1"/>
  </cols>
  <sheetData>
    <row r="1" spans="1:12" ht="33.75" customHeight="1" x14ac:dyDescent="0.25">
      <c r="A1" s="57" t="s">
        <v>100</v>
      </c>
      <c r="B1" s="57"/>
      <c r="C1" s="57"/>
      <c r="D1" s="57"/>
      <c r="E1" s="57"/>
      <c r="F1" s="57"/>
      <c r="G1" s="57"/>
      <c r="H1" s="57"/>
      <c r="I1" s="57"/>
    </row>
    <row r="2" spans="1:12" x14ac:dyDescent="0.25">
      <c r="A2" s="58" t="str">
        <f>"Ano de referência: "&amp;Ano&amp;"   |   Calculado automaticamente a partir da aba Categorias"</f>
        <v>Ano de referência: 2026   |   Calculado automaticamente a partir da aba Categorias</v>
      </c>
      <c r="B2" s="58"/>
      <c r="C2" s="58"/>
      <c r="D2" s="58"/>
      <c r="E2" s="58"/>
      <c r="F2" s="58"/>
      <c r="G2" s="58"/>
      <c r="H2" s="58"/>
      <c r="I2" s="58"/>
    </row>
    <row r="4" spans="1:12" ht="15" customHeight="1" x14ac:dyDescent="0.25">
      <c r="B4" s="59" t="s">
        <v>101</v>
      </c>
      <c r="C4" s="59"/>
      <c r="D4" s="59" t="s">
        <v>102</v>
      </c>
      <c r="E4" s="59"/>
      <c r="F4" s="59" t="s">
        <v>103</v>
      </c>
      <c r="G4" s="59"/>
      <c r="H4" s="59" t="s">
        <v>104</v>
      </c>
      <c r="I4" s="59"/>
    </row>
    <row r="5" spans="1:12" ht="30" customHeight="1" x14ac:dyDescent="0.25">
      <c r="B5" s="55">
        <f>C27</f>
        <v>84000</v>
      </c>
      <c r="C5" s="55"/>
      <c r="D5" s="55">
        <f>F27</f>
        <v>14940</v>
      </c>
      <c r="E5" s="55"/>
      <c r="F5" s="55">
        <f>G27</f>
        <v>69060</v>
      </c>
      <c r="G5" s="55"/>
      <c r="H5" s="56">
        <f>H27</f>
        <v>0.17785714285714285</v>
      </c>
      <c r="I5" s="56"/>
    </row>
    <row r="7" spans="1:12" x14ac:dyDescent="0.25">
      <c r="B7" s="54" t="s">
        <v>105</v>
      </c>
      <c r="C7" s="54"/>
      <c r="D7" s="54"/>
      <c r="E7" s="17" t="str">
        <f>IF(AND(C27=0,F27=0),"–",INDEX(B15:B26,MATCH(MAX(G15:G26),G15:G26,0)))</f>
        <v>Jan</v>
      </c>
      <c r="F7" s="54" t="s">
        <v>106</v>
      </c>
      <c r="G7" s="54"/>
      <c r="H7" s="54"/>
      <c r="I7" s="18">
        <f>COUNTIF(I15:I26,"Déficit")</f>
        <v>0</v>
      </c>
    </row>
    <row r="8" spans="1:12" x14ac:dyDescent="0.25">
      <c r="B8" s="54" t="s">
        <v>107</v>
      </c>
      <c r="C8" s="54"/>
      <c r="D8" s="54"/>
      <c r="E8" s="17" t="str">
        <f>IF(AND(C27=0,F27=0),"–",INDEX(B15:B26,MATCH(MIN(G15:G26),G15:G26,0)))</f>
        <v>Jan</v>
      </c>
      <c r="F8" s="54" t="s">
        <v>108</v>
      </c>
      <c r="G8" s="54"/>
      <c r="H8" s="54"/>
      <c r="I8" s="18">
        <f>COUNTIF(I15:I26,"Atenção")</f>
        <v>0</v>
      </c>
    </row>
    <row r="9" spans="1:12" x14ac:dyDescent="0.25">
      <c r="B9" s="54" t="s">
        <v>109</v>
      </c>
      <c r="C9" s="54"/>
      <c r="D9" s="54"/>
      <c r="E9" s="17" t="str">
        <f>IF(COUNT(H15:H26)=0,"–",IF(MAX(H15:H26)&lt;=0,"–",INDEX(B15:B26,MATCH(MAX(H15:H26),H15:H26,0))))</f>
        <v>Jan</v>
      </c>
      <c r="F9" s="54" t="s">
        <v>110</v>
      </c>
      <c r="G9" s="54"/>
      <c r="H9" s="54"/>
      <c r="I9" s="18">
        <f>COUNTIF(I15:I26,"Sem movimentação")</f>
        <v>0</v>
      </c>
    </row>
    <row r="12" spans="1:12" x14ac:dyDescent="0.25">
      <c r="A12" s="45" t="s">
        <v>111</v>
      </c>
      <c r="B12" s="45"/>
      <c r="C12" s="45"/>
      <c r="D12" s="45"/>
      <c r="E12" s="45"/>
      <c r="F12" s="45"/>
      <c r="G12" s="45"/>
      <c r="H12" s="45"/>
      <c r="I12" s="45"/>
    </row>
    <row r="14" spans="1:12" ht="31.5" customHeight="1" x14ac:dyDescent="0.25">
      <c r="A14" s="8" t="s">
        <v>112</v>
      </c>
      <c r="B14" s="8" t="s">
        <v>113</v>
      </c>
      <c r="C14" s="8" t="s">
        <v>114</v>
      </c>
      <c r="D14" s="8" t="s">
        <v>115</v>
      </c>
      <c r="E14" s="8" t="s">
        <v>116</v>
      </c>
      <c r="F14" s="8" t="s">
        <v>117</v>
      </c>
      <c r="G14" s="8" t="s">
        <v>118</v>
      </c>
      <c r="H14" s="8" t="s">
        <v>119</v>
      </c>
      <c r="I14" s="8" t="s">
        <v>120</v>
      </c>
      <c r="K14" s="19" t="s">
        <v>121</v>
      </c>
      <c r="L14" s="19" t="s">
        <v>122</v>
      </c>
    </row>
    <row r="15" spans="1:12" x14ac:dyDescent="0.25">
      <c r="A15" s="20">
        <v>1</v>
      </c>
      <c r="B15" s="21" t="s">
        <v>36</v>
      </c>
      <c r="C15" s="22">
        <f>INDEX(Categorias!$C$25:$N$25,$A15)</f>
        <v>7000</v>
      </c>
      <c r="D15" s="22">
        <f>INDEX(Categorias!$C$42:$N$42,$A15)</f>
        <v>1245</v>
      </c>
      <c r="E15" s="22">
        <f>INDEX(Categorias!$C$56:$N$56,$A15)</f>
        <v>0</v>
      </c>
      <c r="F15" s="22">
        <f>INDEX(Categorias!$C$57:$N$57,$A15)</f>
        <v>1245</v>
      </c>
      <c r="G15" s="23">
        <f t="shared" ref="G15:G26" si="0">C15-F15</f>
        <v>5755</v>
      </c>
      <c r="H15" s="24">
        <f t="shared" ref="H15:H27" si="1">IF(C15&gt;0,F15/C15,IF(F15&gt;0,"sem renda","–"))</f>
        <v>0.17785714285714285</v>
      </c>
      <c r="I15" s="21" t="str">
        <f t="shared" ref="I15:I27" si="2">IF(AND(C15=0,F15=0),"Sem movimentação",IF(G15&lt;0,"Déficit",IF(AND(C15&gt;0,F15/C15&gt;=Limite),"Atenção","Equilibrado")))</f>
        <v>Equilibrado</v>
      </c>
      <c r="K15" s="25">
        <f t="shared" ref="K15:K26" si="3">MAX(G15,0)</f>
        <v>5755</v>
      </c>
      <c r="L15" s="25">
        <f t="shared" ref="L15:L26" si="4">MIN(G15,0)</f>
        <v>0</v>
      </c>
    </row>
    <row r="16" spans="1:12" x14ac:dyDescent="0.25">
      <c r="A16" s="20">
        <v>2</v>
      </c>
      <c r="B16" s="21" t="s">
        <v>37</v>
      </c>
      <c r="C16" s="22">
        <f>INDEX(Categorias!$C$25:$N$25,$A16)</f>
        <v>7000</v>
      </c>
      <c r="D16" s="22">
        <f>INDEX(Categorias!$C$42:$N$42,$A16)</f>
        <v>1245</v>
      </c>
      <c r="E16" s="22">
        <f>INDEX(Categorias!$C$56:$N$56,$A16)</f>
        <v>0</v>
      </c>
      <c r="F16" s="22">
        <f>INDEX(Categorias!$C$57:$N$57,$A16)</f>
        <v>1245</v>
      </c>
      <c r="G16" s="23">
        <f t="shared" si="0"/>
        <v>5755</v>
      </c>
      <c r="H16" s="24">
        <f t="shared" si="1"/>
        <v>0.17785714285714285</v>
      </c>
      <c r="I16" s="21" t="str">
        <f t="shared" si="2"/>
        <v>Equilibrado</v>
      </c>
      <c r="K16" s="25">
        <f t="shared" si="3"/>
        <v>5755</v>
      </c>
      <c r="L16" s="25">
        <f t="shared" si="4"/>
        <v>0</v>
      </c>
    </row>
    <row r="17" spans="1:12" x14ac:dyDescent="0.25">
      <c r="A17" s="20">
        <v>3</v>
      </c>
      <c r="B17" s="21" t="s">
        <v>38</v>
      </c>
      <c r="C17" s="22">
        <f>INDEX(Categorias!$C$25:$N$25,$A17)</f>
        <v>7000</v>
      </c>
      <c r="D17" s="22">
        <f>INDEX(Categorias!$C$42:$N$42,$A17)</f>
        <v>1245</v>
      </c>
      <c r="E17" s="22">
        <f>INDEX(Categorias!$C$56:$N$56,$A17)</f>
        <v>0</v>
      </c>
      <c r="F17" s="22">
        <f>INDEX(Categorias!$C$57:$N$57,$A17)</f>
        <v>1245</v>
      </c>
      <c r="G17" s="23">
        <f t="shared" si="0"/>
        <v>5755</v>
      </c>
      <c r="H17" s="24">
        <f t="shared" si="1"/>
        <v>0.17785714285714285</v>
      </c>
      <c r="I17" s="21" t="str">
        <f t="shared" si="2"/>
        <v>Equilibrado</v>
      </c>
      <c r="K17" s="25">
        <f t="shared" si="3"/>
        <v>5755</v>
      </c>
      <c r="L17" s="25">
        <f t="shared" si="4"/>
        <v>0</v>
      </c>
    </row>
    <row r="18" spans="1:12" x14ac:dyDescent="0.25">
      <c r="A18" s="20">
        <v>4</v>
      </c>
      <c r="B18" s="21" t="s">
        <v>39</v>
      </c>
      <c r="C18" s="22">
        <f>INDEX(Categorias!$C$25:$N$25,$A18)</f>
        <v>7000</v>
      </c>
      <c r="D18" s="22">
        <f>INDEX(Categorias!$C$42:$N$42,$A18)</f>
        <v>1245</v>
      </c>
      <c r="E18" s="22">
        <f>INDEX(Categorias!$C$56:$N$56,$A18)</f>
        <v>0</v>
      </c>
      <c r="F18" s="22">
        <f>INDEX(Categorias!$C$57:$N$57,$A18)</f>
        <v>1245</v>
      </c>
      <c r="G18" s="23">
        <f t="shared" si="0"/>
        <v>5755</v>
      </c>
      <c r="H18" s="24">
        <f t="shared" si="1"/>
        <v>0.17785714285714285</v>
      </c>
      <c r="I18" s="21" t="str">
        <f t="shared" si="2"/>
        <v>Equilibrado</v>
      </c>
      <c r="K18" s="25">
        <f t="shared" si="3"/>
        <v>5755</v>
      </c>
      <c r="L18" s="25">
        <f t="shared" si="4"/>
        <v>0</v>
      </c>
    </row>
    <row r="19" spans="1:12" x14ac:dyDescent="0.25">
      <c r="A19" s="20">
        <v>5</v>
      </c>
      <c r="B19" s="21" t="s">
        <v>40</v>
      </c>
      <c r="C19" s="22">
        <f>INDEX(Categorias!$C$25:$N$25,$A19)</f>
        <v>7000</v>
      </c>
      <c r="D19" s="22">
        <f>INDEX(Categorias!$C$42:$N$42,$A19)</f>
        <v>1245</v>
      </c>
      <c r="E19" s="22">
        <f>INDEX(Categorias!$C$56:$N$56,$A19)</f>
        <v>0</v>
      </c>
      <c r="F19" s="22">
        <f>INDEX(Categorias!$C$57:$N$57,$A19)</f>
        <v>1245</v>
      </c>
      <c r="G19" s="23">
        <f t="shared" si="0"/>
        <v>5755</v>
      </c>
      <c r="H19" s="24">
        <f t="shared" si="1"/>
        <v>0.17785714285714285</v>
      </c>
      <c r="I19" s="21" t="str">
        <f t="shared" si="2"/>
        <v>Equilibrado</v>
      </c>
      <c r="K19" s="25">
        <f t="shared" si="3"/>
        <v>5755</v>
      </c>
      <c r="L19" s="25">
        <f t="shared" si="4"/>
        <v>0</v>
      </c>
    </row>
    <row r="20" spans="1:12" x14ac:dyDescent="0.25">
      <c r="A20" s="20">
        <v>6</v>
      </c>
      <c r="B20" s="21" t="s">
        <v>41</v>
      </c>
      <c r="C20" s="22">
        <f>INDEX(Categorias!$C$25:$N$25,$A20)</f>
        <v>7000</v>
      </c>
      <c r="D20" s="22">
        <f>INDEX(Categorias!$C$42:$N$42,$A20)</f>
        <v>1245</v>
      </c>
      <c r="E20" s="22">
        <f>INDEX(Categorias!$C$56:$N$56,$A20)</f>
        <v>0</v>
      </c>
      <c r="F20" s="22">
        <f>INDEX(Categorias!$C$57:$N$57,$A20)</f>
        <v>1245</v>
      </c>
      <c r="G20" s="23">
        <f t="shared" si="0"/>
        <v>5755</v>
      </c>
      <c r="H20" s="24">
        <f t="shared" si="1"/>
        <v>0.17785714285714285</v>
      </c>
      <c r="I20" s="21" t="str">
        <f t="shared" si="2"/>
        <v>Equilibrado</v>
      </c>
      <c r="K20" s="25">
        <f t="shared" si="3"/>
        <v>5755</v>
      </c>
      <c r="L20" s="25">
        <f t="shared" si="4"/>
        <v>0</v>
      </c>
    </row>
    <row r="21" spans="1:12" x14ac:dyDescent="0.25">
      <c r="A21" s="20">
        <v>7</v>
      </c>
      <c r="B21" s="21" t="s">
        <v>42</v>
      </c>
      <c r="C21" s="22">
        <f>INDEX(Categorias!$C$25:$N$25,$A21)</f>
        <v>7000</v>
      </c>
      <c r="D21" s="22">
        <f>INDEX(Categorias!$C$42:$N$42,$A21)</f>
        <v>1245</v>
      </c>
      <c r="E21" s="22">
        <f>INDEX(Categorias!$C$56:$N$56,$A21)</f>
        <v>0</v>
      </c>
      <c r="F21" s="22">
        <f>INDEX(Categorias!$C$57:$N$57,$A21)</f>
        <v>1245</v>
      </c>
      <c r="G21" s="23">
        <f t="shared" si="0"/>
        <v>5755</v>
      </c>
      <c r="H21" s="24">
        <f t="shared" si="1"/>
        <v>0.17785714285714285</v>
      </c>
      <c r="I21" s="21" t="str">
        <f t="shared" si="2"/>
        <v>Equilibrado</v>
      </c>
      <c r="K21" s="25">
        <f t="shared" si="3"/>
        <v>5755</v>
      </c>
      <c r="L21" s="25">
        <f t="shared" si="4"/>
        <v>0</v>
      </c>
    </row>
    <row r="22" spans="1:12" x14ac:dyDescent="0.25">
      <c r="A22" s="20">
        <v>8</v>
      </c>
      <c r="B22" s="21" t="s">
        <v>43</v>
      </c>
      <c r="C22" s="22">
        <f>INDEX(Categorias!$C$25:$N$25,$A22)</f>
        <v>7000</v>
      </c>
      <c r="D22" s="22">
        <f>INDEX(Categorias!$C$42:$N$42,$A22)</f>
        <v>1245</v>
      </c>
      <c r="E22" s="22">
        <f>INDEX(Categorias!$C$56:$N$56,$A22)</f>
        <v>0</v>
      </c>
      <c r="F22" s="22">
        <f>INDEX(Categorias!$C$57:$N$57,$A22)</f>
        <v>1245</v>
      </c>
      <c r="G22" s="23">
        <f t="shared" si="0"/>
        <v>5755</v>
      </c>
      <c r="H22" s="24">
        <f t="shared" si="1"/>
        <v>0.17785714285714285</v>
      </c>
      <c r="I22" s="21" t="str">
        <f t="shared" si="2"/>
        <v>Equilibrado</v>
      </c>
      <c r="K22" s="25">
        <f t="shared" si="3"/>
        <v>5755</v>
      </c>
      <c r="L22" s="25">
        <f t="shared" si="4"/>
        <v>0</v>
      </c>
    </row>
    <row r="23" spans="1:12" x14ac:dyDescent="0.25">
      <c r="A23" s="20">
        <v>9</v>
      </c>
      <c r="B23" s="21" t="s">
        <v>44</v>
      </c>
      <c r="C23" s="22">
        <f>INDEX(Categorias!$C$25:$N$25,$A23)</f>
        <v>7000</v>
      </c>
      <c r="D23" s="22">
        <f>INDEX(Categorias!$C$42:$N$42,$A23)</f>
        <v>1245</v>
      </c>
      <c r="E23" s="22">
        <f>INDEX(Categorias!$C$56:$N$56,$A23)</f>
        <v>0</v>
      </c>
      <c r="F23" s="22">
        <f>INDEX(Categorias!$C$57:$N$57,$A23)</f>
        <v>1245</v>
      </c>
      <c r="G23" s="23">
        <f t="shared" si="0"/>
        <v>5755</v>
      </c>
      <c r="H23" s="24">
        <f t="shared" si="1"/>
        <v>0.17785714285714285</v>
      </c>
      <c r="I23" s="21" t="str">
        <f t="shared" si="2"/>
        <v>Equilibrado</v>
      </c>
      <c r="K23" s="25">
        <f t="shared" si="3"/>
        <v>5755</v>
      </c>
      <c r="L23" s="25">
        <f t="shared" si="4"/>
        <v>0</v>
      </c>
    </row>
    <row r="24" spans="1:12" x14ac:dyDescent="0.25">
      <c r="A24" s="20">
        <v>10</v>
      </c>
      <c r="B24" s="21" t="s">
        <v>45</v>
      </c>
      <c r="C24" s="22">
        <f>INDEX(Categorias!$C$25:$N$25,$A24)</f>
        <v>7000</v>
      </c>
      <c r="D24" s="22">
        <f>INDEX(Categorias!$C$42:$N$42,$A24)</f>
        <v>1245</v>
      </c>
      <c r="E24" s="22">
        <f>INDEX(Categorias!$C$56:$N$56,$A24)</f>
        <v>0</v>
      </c>
      <c r="F24" s="22">
        <f>INDEX(Categorias!$C$57:$N$57,$A24)</f>
        <v>1245</v>
      </c>
      <c r="G24" s="23">
        <f t="shared" si="0"/>
        <v>5755</v>
      </c>
      <c r="H24" s="24">
        <f t="shared" si="1"/>
        <v>0.17785714285714285</v>
      </c>
      <c r="I24" s="21" t="str">
        <f t="shared" si="2"/>
        <v>Equilibrado</v>
      </c>
      <c r="K24" s="25">
        <f t="shared" si="3"/>
        <v>5755</v>
      </c>
      <c r="L24" s="25">
        <f t="shared" si="4"/>
        <v>0</v>
      </c>
    </row>
    <row r="25" spans="1:12" x14ac:dyDescent="0.25">
      <c r="A25" s="20">
        <v>11</v>
      </c>
      <c r="B25" s="21" t="s">
        <v>46</v>
      </c>
      <c r="C25" s="22">
        <f>INDEX(Categorias!$C$25:$N$25,$A25)</f>
        <v>7000</v>
      </c>
      <c r="D25" s="22">
        <f>INDEX(Categorias!$C$42:$N$42,$A25)</f>
        <v>1245</v>
      </c>
      <c r="E25" s="22">
        <f>INDEX(Categorias!$C$56:$N$56,$A25)</f>
        <v>0</v>
      </c>
      <c r="F25" s="22">
        <f>INDEX(Categorias!$C$57:$N$57,$A25)</f>
        <v>1245</v>
      </c>
      <c r="G25" s="23">
        <f t="shared" si="0"/>
        <v>5755</v>
      </c>
      <c r="H25" s="24">
        <f t="shared" si="1"/>
        <v>0.17785714285714285</v>
      </c>
      <c r="I25" s="21" t="str">
        <f t="shared" si="2"/>
        <v>Equilibrado</v>
      </c>
      <c r="K25" s="25">
        <f t="shared" si="3"/>
        <v>5755</v>
      </c>
      <c r="L25" s="25">
        <f t="shared" si="4"/>
        <v>0</v>
      </c>
    </row>
    <row r="26" spans="1:12" x14ac:dyDescent="0.25">
      <c r="A26" s="20">
        <v>12</v>
      </c>
      <c r="B26" s="21" t="s">
        <v>47</v>
      </c>
      <c r="C26" s="22">
        <f>INDEX(Categorias!$C$25:$N$25,$A26)</f>
        <v>7000</v>
      </c>
      <c r="D26" s="22">
        <f>INDEX(Categorias!$C$42:$N$42,$A26)</f>
        <v>1245</v>
      </c>
      <c r="E26" s="22">
        <f>INDEX(Categorias!$C$56:$N$56,$A26)</f>
        <v>0</v>
      </c>
      <c r="F26" s="22">
        <f>INDEX(Categorias!$C$57:$N$57,$A26)</f>
        <v>1245</v>
      </c>
      <c r="G26" s="23">
        <f t="shared" si="0"/>
        <v>5755</v>
      </c>
      <c r="H26" s="24">
        <f t="shared" si="1"/>
        <v>0.17785714285714285</v>
      </c>
      <c r="I26" s="21" t="str">
        <f t="shared" si="2"/>
        <v>Equilibrado</v>
      </c>
      <c r="K26" s="25">
        <f t="shared" si="3"/>
        <v>5755</v>
      </c>
      <c r="L26" s="25">
        <f t="shared" si="4"/>
        <v>0</v>
      </c>
    </row>
    <row r="27" spans="1:12" x14ac:dyDescent="0.25">
      <c r="A27" s="26"/>
      <c r="B27" s="27" t="s">
        <v>123</v>
      </c>
      <c r="C27" s="28">
        <f>SUM(C15:C26)</f>
        <v>84000</v>
      </c>
      <c r="D27" s="28">
        <f>SUM(D15:D26)</f>
        <v>14940</v>
      </c>
      <c r="E27" s="28">
        <f>SUM(E15:E26)</f>
        <v>0</v>
      </c>
      <c r="F27" s="28">
        <f>SUM(F15:F26)</f>
        <v>14940</v>
      </c>
      <c r="G27" s="28">
        <f>SUM(G15:G26)</f>
        <v>69060</v>
      </c>
      <c r="H27" s="29">
        <f t="shared" si="1"/>
        <v>0.17785714285714285</v>
      </c>
      <c r="I27" s="27" t="str">
        <f t="shared" si="2"/>
        <v>Equilibrado</v>
      </c>
    </row>
    <row r="29" spans="1:12" x14ac:dyDescent="0.25">
      <c r="A29" s="45" t="s">
        <v>124</v>
      </c>
      <c r="B29" s="45"/>
      <c r="C29" s="45"/>
      <c r="D29" s="45"/>
      <c r="E29" s="45"/>
      <c r="F29" s="45"/>
      <c r="G29" s="45"/>
      <c r="H29" s="45"/>
      <c r="I29" s="45"/>
    </row>
    <row r="30" spans="1:12" ht="15" customHeight="1" x14ac:dyDescent="0.25">
      <c r="A30" s="8" t="s">
        <v>125</v>
      </c>
      <c r="B30" s="53" t="s">
        <v>126</v>
      </c>
      <c r="C30" s="53"/>
      <c r="D30" s="53"/>
      <c r="E30" s="8" t="s">
        <v>48</v>
      </c>
      <c r="F30" s="8" t="s">
        <v>127</v>
      </c>
    </row>
    <row r="31" spans="1:12" x14ac:dyDescent="0.25">
      <c r="A31" s="30">
        <v>1</v>
      </c>
      <c r="B31" s="52" t="str">
        <f>IFERROR(IF(INDEX(Categorias!$O$28:$O$55,MATCH(LARGE(Categorias!$Q$28:$Q$55,$A31),Categorias!$Q$28:$Q$55,0))&gt;0,IF(INDEX(Categorias!$B$28:$B$55,MATCH(LARGE(Categorias!$Q$28:$Q$55,$A31),Categorias!$Q$28:$Q$55,0))="","(sem nome)",INDEX(Categorias!$B$28:$B$55,MATCH(LARGE(Categorias!$Q$28:$Q$55,$A31),Categorias!$Q$28:$Q$55,0))),""),"")</f>
        <v>Aluguel ou financiamento do imóvel</v>
      </c>
      <c r="C31" s="52"/>
      <c r="D31" s="52"/>
      <c r="E31" s="31">
        <f>IF(B31="",0,INDEX(Categorias!$O$28:$O$55,MATCH(LARGE(Categorias!$Q$28:$Q$55,$A31),Categorias!$Q$28:$Q$55,0)))</f>
        <v>14400</v>
      </c>
      <c r="F31" s="24">
        <f t="shared" ref="F31:F36" si="5">IF(OR(B31="",$F$27=0),0,E31/$F$27)</f>
        <v>0.96385542168674698</v>
      </c>
    </row>
    <row r="32" spans="1:12" x14ac:dyDescent="0.25">
      <c r="A32" s="30">
        <v>2</v>
      </c>
      <c r="B32" s="52" t="str">
        <f>IFERROR(IF(INDEX(Categorias!$O$28:$O$55,MATCH(LARGE(Categorias!$Q$28:$Q$55,$A32),Categorias!$Q$28:$Q$55,0))&gt;0,IF(INDEX(Categorias!$B$28:$B$55,MATCH(LARGE(Categorias!$Q$28:$Q$55,$A32),Categorias!$Q$28:$Q$55,0))="","(sem nome)",INDEX(Categorias!$B$28:$B$55,MATCH(LARGE(Categorias!$Q$28:$Q$55,$A32),Categorias!$Q$28:$Q$55,0))),""),"")</f>
        <v>Streaming de vídeo</v>
      </c>
      <c r="C32" s="52"/>
      <c r="D32" s="52"/>
      <c r="E32" s="31">
        <f>IF(B32="",0,INDEX(Categorias!$O$28:$O$55,MATCH(LARGE(Categorias!$Q$28:$Q$55,$A32),Categorias!$Q$28:$Q$55,0)))</f>
        <v>540</v>
      </c>
      <c r="F32" s="24">
        <f t="shared" si="5"/>
        <v>3.614457831325301E-2</v>
      </c>
    </row>
    <row r="33" spans="1:9" x14ac:dyDescent="0.25">
      <c r="A33" s="30">
        <v>3</v>
      </c>
      <c r="B33" s="52" t="str">
        <f>IFERROR(IF(INDEX(Categorias!$O$28:$O$55,MATCH(LARGE(Categorias!$Q$28:$Q$55,$A33),Categorias!$Q$28:$Q$55,0))&gt;0,IF(INDEX(Categorias!$B$28:$B$55,MATCH(LARGE(Categorias!$Q$28:$Q$55,$A33),Categorias!$Q$28:$Q$55,0))="","(sem nome)",INDEX(Categorias!$B$28:$B$55,MATCH(LARGE(Categorias!$Q$28:$Q$55,$A33),Categorias!$Q$28:$Q$55,0))),""),"")</f>
        <v/>
      </c>
      <c r="C33" s="52"/>
      <c r="D33" s="52"/>
      <c r="E33" s="31">
        <f>IF(B33="",0,INDEX(Categorias!$O$28:$O$55,MATCH(LARGE(Categorias!$Q$28:$Q$55,$A33),Categorias!$Q$28:$Q$55,0)))</f>
        <v>0</v>
      </c>
      <c r="F33" s="24">
        <f t="shared" si="5"/>
        <v>0</v>
      </c>
    </row>
    <row r="34" spans="1:9" x14ac:dyDescent="0.25">
      <c r="A34" s="30">
        <v>4</v>
      </c>
      <c r="B34" s="52" t="str">
        <f>IFERROR(IF(INDEX(Categorias!$O$28:$O$55,MATCH(LARGE(Categorias!$Q$28:$Q$55,$A34),Categorias!$Q$28:$Q$55,0))&gt;0,IF(INDEX(Categorias!$B$28:$B$55,MATCH(LARGE(Categorias!$Q$28:$Q$55,$A34),Categorias!$Q$28:$Q$55,0))="","(sem nome)",INDEX(Categorias!$B$28:$B$55,MATCH(LARGE(Categorias!$Q$28:$Q$55,$A34),Categorias!$Q$28:$Q$55,0))),""),"")</f>
        <v/>
      </c>
      <c r="C34" s="52"/>
      <c r="D34" s="52"/>
      <c r="E34" s="31">
        <f>IF(B34="",0,INDEX(Categorias!$O$28:$O$55,MATCH(LARGE(Categorias!$Q$28:$Q$55,$A34),Categorias!$Q$28:$Q$55,0)))</f>
        <v>0</v>
      </c>
      <c r="F34" s="24">
        <f t="shared" si="5"/>
        <v>0</v>
      </c>
    </row>
    <row r="35" spans="1:9" x14ac:dyDescent="0.25">
      <c r="A35" s="30">
        <v>5</v>
      </c>
      <c r="B35" s="52" t="str">
        <f>IFERROR(IF(INDEX(Categorias!$O$28:$O$55,MATCH(LARGE(Categorias!$Q$28:$Q$55,$A35),Categorias!$Q$28:$Q$55,0))&gt;0,IF(INDEX(Categorias!$B$28:$B$55,MATCH(LARGE(Categorias!$Q$28:$Q$55,$A35),Categorias!$Q$28:$Q$55,0))="","(sem nome)",INDEX(Categorias!$B$28:$B$55,MATCH(LARGE(Categorias!$Q$28:$Q$55,$A35),Categorias!$Q$28:$Q$55,0))),""),"")</f>
        <v/>
      </c>
      <c r="C35" s="52"/>
      <c r="D35" s="52"/>
      <c r="E35" s="31">
        <f>IF(B35="",0,INDEX(Categorias!$O$28:$O$55,MATCH(LARGE(Categorias!$Q$28:$Q$55,$A35),Categorias!$Q$28:$Q$55,0)))</f>
        <v>0</v>
      </c>
      <c r="F35" s="24">
        <f t="shared" si="5"/>
        <v>0</v>
      </c>
    </row>
    <row r="36" spans="1:9" x14ac:dyDescent="0.25">
      <c r="A36" s="30">
        <v>6</v>
      </c>
      <c r="B36" s="52" t="str">
        <f>IFERROR(IF(INDEX(Categorias!$O$28:$O$55,MATCH(LARGE(Categorias!$Q$28:$Q$55,$A36),Categorias!$Q$28:$Q$55,0))&gt;0,IF(INDEX(Categorias!$B$28:$B$55,MATCH(LARGE(Categorias!$Q$28:$Q$55,$A36),Categorias!$Q$28:$Q$55,0))="","(sem nome)",INDEX(Categorias!$B$28:$B$55,MATCH(LARGE(Categorias!$Q$28:$Q$55,$A36),Categorias!$Q$28:$Q$55,0))),""),"")</f>
        <v/>
      </c>
      <c r="C36" s="52"/>
      <c r="D36" s="52"/>
      <c r="E36" s="31">
        <f>IF(B36="",0,INDEX(Categorias!$O$28:$O$55,MATCH(LARGE(Categorias!$Q$28:$Q$55,$A36),Categorias!$Q$28:$Q$55,0)))</f>
        <v>0</v>
      </c>
      <c r="F36" s="24">
        <f t="shared" si="5"/>
        <v>0</v>
      </c>
    </row>
    <row r="38" spans="1:9" x14ac:dyDescent="0.25">
      <c r="A38" s="45" t="s">
        <v>128</v>
      </c>
      <c r="B38" s="45"/>
      <c r="C38" s="45"/>
      <c r="D38" s="45"/>
      <c r="E38" s="45"/>
      <c r="F38" s="45"/>
      <c r="G38" s="45"/>
      <c r="H38" s="45"/>
      <c r="I38" s="45"/>
    </row>
  </sheetData>
  <sheetProtection sheet="1"/>
  <mergeCells count="26">
    <mergeCell ref="A1:I1"/>
    <mergeCell ref="A2:I2"/>
    <mergeCell ref="B4:C4"/>
    <mergeCell ref="D4:E4"/>
    <mergeCell ref="F4:G4"/>
    <mergeCell ref="H4:I4"/>
    <mergeCell ref="B5:C5"/>
    <mergeCell ref="D5:E5"/>
    <mergeCell ref="F5:G5"/>
    <mergeCell ref="H5:I5"/>
    <mergeCell ref="B7:D7"/>
    <mergeCell ref="F7:H7"/>
    <mergeCell ref="B8:D8"/>
    <mergeCell ref="F8:H8"/>
    <mergeCell ref="B9:D9"/>
    <mergeCell ref="F9:H9"/>
    <mergeCell ref="A12:I12"/>
    <mergeCell ref="B34:D34"/>
    <mergeCell ref="B35:D35"/>
    <mergeCell ref="B36:D36"/>
    <mergeCell ref="A38:I38"/>
    <mergeCell ref="A29:I29"/>
    <mergeCell ref="B30:D30"/>
    <mergeCell ref="B31:D31"/>
    <mergeCell ref="B32:D32"/>
    <mergeCell ref="B33:D33"/>
  </mergeCells>
  <conditionalFormatting sqref="F5">
    <cfRule type="cellIs" dxfId="13" priority="4" operator="lessThan">
      <formula>0</formula>
    </cfRule>
    <cfRule type="cellIs" dxfId="12" priority="5" operator="greaterThan">
      <formula>0</formula>
    </cfRule>
  </conditionalFormatting>
  <conditionalFormatting sqref="G15:G27">
    <cfRule type="cellIs" dxfId="11" priority="2" operator="lessThan">
      <formula>0</formula>
    </cfRule>
    <cfRule type="cellIs" dxfId="10" priority="3" operator="greaterThan">
      <formula>0</formula>
    </cfRule>
  </conditionalFormatting>
  <conditionalFormatting sqref="I15:I27">
    <cfRule type="expression" dxfId="9" priority="6">
      <formula>I15="Déficit"</formula>
    </cfRule>
    <cfRule type="expression" dxfId="8" priority="7">
      <formula>I15="Atenção"</formula>
    </cfRule>
    <cfRule type="expression" dxfId="7" priority="8">
      <formula>I15="Equilibrado"</formula>
    </cfRule>
    <cfRule type="expression" dxfId="6" priority="9">
      <formula>I15="Sem movimentação"</formula>
    </cfRule>
  </conditionalFormatting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K34"/>
  <sheetViews>
    <sheetView showGridLines="0" zoomScaleNormal="100" workbookViewId="0"/>
  </sheetViews>
  <sheetFormatPr defaultColWidth="8.7109375" defaultRowHeight="15" x14ac:dyDescent="0.25"/>
  <cols>
    <col min="1" max="1" width="2" customWidth="1"/>
    <col min="2" max="2" width="9" customWidth="1"/>
    <col min="3" max="3" width="16" customWidth="1"/>
    <col min="4" max="4" width="15" customWidth="1"/>
    <col min="5" max="5" width="13" customWidth="1"/>
    <col min="6" max="6" width="46" customWidth="1"/>
    <col min="7" max="7" width="54" customWidth="1"/>
    <col min="8" max="8" width="44" customWidth="1"/>
    <col min="9" max="9" width="2" customWidth="1"/>
    <col min="10" max="10" width="14" hidden="1" customWidth="1"/>
    <col min="11" max="11" width="26" hidden="1" customWidth="1"/>
  </cols>
  <sheetData>
    <row r="1" spans="2:11" ht="33.75" customHeight="1" x14ac:dyDescent="0.25">
      <c r="B1" s="57" t="s">
        <v>129</v>
      </c>
      <c r="C1" s="57"/>
      <c r="D1" s="57"/>
      <c r="E1" s="57"/>
      <c r="F1" s="57"/>
      <c r="G1" s="57"/>
      <c r="H1" s="57"/>
    </row>
    <row r="2" spans="2:11" x14ac:dyDescent="0.25">
      <c r="B2" s="58" t="str">
        <f>"Ano de referência: "&amp;Ano&amp;"   |   Textos gerados automaticamente a partir dos seus lançamentos. São orientações educativas, não substituem um profissional."</f>
        <v>Ano de referência: 2026   |   Textos gerados automaticamente a partir dos seus lançamentos. São orientações educativas, não substituem um profissional.</v>
      </c>
      <c r="C2" s="58"/>
      <c r="D2" s="58"/>
      <c r="E2" s="58"/>
      <c r="F2" s="58"/>
      <c r="G2" s="58"/>
      <c r="H2" s="58"/>
    </row>
    <row r="4" spans="2:11" ht="31.5" customHeight="1" x14ac:dyDescent="0.25">
      <c r="B4" s="60" t="s">
        <v>130</v>
      </c>
      <c r="C4" s="60"/>
      <c r="D4" s="61" t="str">
        <f>IF(AND(Resumo!C27=0,Resumo!F27=0),"Ainda não há lançamentos. Preencha a aba Categorias para ver o panorama do ano.","Receitas de R$ "&amp;FIXED(Resumo!C27,2)&amp;" e despesas de R$ "&amp;FIXED(Resumo!F27,2)&amp;" no ano: "&amp;IF(Resumo!G27&gt;=0,"saldo positivo de R$ ","déficit de R$ ")&amp;FIXED(ABS(Resumo!G27),2)&amp;IF(ISNUMBER(Resumo!H27)," ("&amp;FIXED(Resumo!H27*100,0)&amp;"% da renda comprometida).","."))</f>
        <v>Receitas de R$ 84.000,00 e despesas de R$ 14.940,00 no ano: saldo positivo de R$ 69.060,00 (18% da renda comprometida).</v>
      </c>
      <c r="E4" s="61"/>
      <c r="F4" s="61"/>
      <c r="G4" s="61"/>
      <c r="H4" s="61"/>
    </row>
    <row r="5" spans="2:11" ht="19.5" customHeight="1" x14ac:dyDescent="0.25">
      <c r="B5" s="60" t="s">
        <v>106</v>
      </c>
      <c r="C5" s="60"/>
      <c r="D5" s="61" t="str">
        <f>IF(COUNTIF(Resumo!$I$15:$I$26,"Déficit")=0,"nenhum",SUBSTITUTE(TRIM(IF(Resumo!I15="Déficit",Resumo!B15&amp;" ","")&amp;IF(Resumo!I16="Déficit",Resumo!B16&amp;" ","")&amp;IF(Resumo!I17="Déficit",Resumo!B17&amp;" ","")&amp;IF(Resumo!I18="Déficit",Resumo!B18&amp;" ","")&amp;IF(Resumo!I19="Déficit",Resumo!B19&amp;" ","")&amp;IF(Resumo!I20="Déficit",Resumo!B20&amp;" ","")&amp;IF(Resumo!I21="Déficit",Resumo!B21&amp;" ","")&amp;IF(Resumo!I22="Déficit",Resumo!B22&amp;" ","")&amp;IF(Resumo!I23="Déficit",Resumo!B23&amp;" ","")&amp;IF(Resumo!I24="Déficit",Resumo!B24&amp;" ","")&amp;IF(Resumo!I25="Déficit",Resumo!B25&amp;" ","")&amp;IF(Resumo!I26="Déficit",Resumo!B26&amp;" ",""))," ",", "))</f>
        <v>nenhum</v>
      </c>
      <c r="E5" s="61"/>
      <c r="F5" s="61"/>
      <c r="G5" s="61"/>
      <c r="H5" s="61"/>
    </row>
    <row r="6" spans="2:11" ht="19.5" customHeight="1" x14ac:dyDescent="0.25">
      <c r="B6" s="60" t="s">
        <v>108</v>
      </c>
      <c r="C6" s="60"/>
      <c r="D6" s="61" t="str">
        <f>IF(COUNTIF(Resumo!$I$15:$I$26,"Atenção")=0,"nenhum",SUBSTITUTE(TRIM(IF(Resumo!I15="Atenção",Resumo!B15&amp;" ","")&amp;IF(Resumo!I16="Atenção",Resumo!B16&amp;" ","")&amp;IF(Resumo!I17="Atenção",Resumo!B17&amp;" ","")&amp;IF(Resumo!I18="Atenção",Resumo!B18&amp;" ","")&amp;IF(Resumo!I19="Atenção",Resumo!B19&amp;" ","")&amp;IF(Resumo!I20="Atenção",Resumo!B20&amp;" ","")&amp;IF(Resumo!I21="Atenção",Resumo!B21&amp;" ","")&amp;IF(Resumo!I22="Atenção",Resumo!B22&amp;" ","")&amp;IF(Resumo!I23="Atenção",Resumo!B23&amp;" ","")&amp;IF(Resumo!I24="Atenção",Resumo!B24&amp;" ","")&amp;IF(Resumo!I25="Atenção",Resumo!B25&amp;" ","")&amp;IF(Resumo!I26="Atenção",Resumo!B26&amp;" ",""))," ",", "))</f>
        <v>nenhum</v>
      </c>
      <c r="E6" s="61"/>
      <c r="F6" s="61"/>
      <c r="G6" s="61"/>
      <c r="H6" s="61"/>
    </row>
    <row r="7" spans="2:11" ht="31.5" customHeight="1" x14ac:dyDescent="0.25">
      <c r="B7" s="60" t="s">
        <v>131</v>
      </c>
      <c r="C7" s="60"/>
      <c r="D7" s="61" t="str">
        <f>IF(COUNTIF(Resumo!$I$15:$I$26,"Déficit")&gt;0,"Planeje com antecedência os meses em déficit: negocie dívidas com juros, reduza gastos variáveis e busque renda extra antes que eles cheguem.",IF(COUNTIF(Resumo!$I$15:$I$26,"Atenção")&gt;0,"Nenhum mês no vermelho, mas há meses apertados: segure gastos variáveis e evite novas parcelas nesses períodos.",IF(AND(Resumo!C27=0,Resumo!F27=0),"Preencha a aba Categorias para receber orientações.","Orçamento saudável no ano: mantenha o controle e direcione as sobras para reserva e objetivos.")))</f>
        <v>Orçamento saudável no ano: mantenha o controle e direcione as sobras para reserva e objetivos.</v>
      </c>
      <c r="E7" s="61"/>
      <c r="F7" s="61"/>
      <c r="G7" s="61"/>
      <c r="H7" s="61"/>
    </row>
    <row r="9" spans="2:11" ht="31.5" customHeight="1" x14ac:dyDescent="0.25">
      <c r="B9" s="8" t="s">
        <v>113</v>
      </c>
      <c r="C9" s="8" t="s">
        <v>120</v>
      </c>
      <c r="D9" s="8" t="s">
        <v>132</v>
      </c>
      <c r="E9" s="8" t="s">
        <v>119</v>
      </c>
      <c r="F9" s="8" t="s">
        <v>133</v>
      </c>
      <c r="G9" s="8" t="s">
        <v>134</v>
      </c>
      <c r="H9" s="8" t="s">
        <v>135</v>
      </c>
    </row>
    <row r="10" spans="2:11" ht="117.75" customHeight="1" x14ac:dyDescent="0.25">
      <c r="B10" s="32" t="s">
        <v>36</v>
      </c>
      <c r="C10" s="33" t="str">
        <f>Resumo!I15</f>
        <v>Equilibrado</v>
      </c>
      <c r="D10" s="34">
        <f>Resumo!G15</f>
        <v>5755</v>
      </c>
      <c r="E10" s="35">
        <f>Resumo!H15</f>
        <v>0.17785714285714285</v>
      </c>
      <c r="F10" s="36" t="str">
        <f>IF(C10="Sem movimentação","Nenhum lançamento neste mês.",IF(C10="Déficit",IF(Resumo!C15=0,"Há despesas de R$ "&amp;FIXED(Resumo!F15,2)&amp;", mas nenhuma receita lançada: déficit de R$ "&amp;FIXED(-D10,2)&amp;".","Déficit de R$ "&amp;FIXED(-D10,2)&amp;": as despesas (R$ "&amp;FIXED(Resumo!F15,2)&amp;") superam a renda (R$ "&amp;FIXED(Resumo!C15,2)&amp;") e comprometem "&amp;FIXED(E10*100,0)&amp;"% dela."),IF(C10="Atenção","Renda comprometida em "&amp;FIXED(E10*100,0)&amp;"% (R$ "&amp;FIXED(Resumo!F15,2)&amp;" de R$ "&amp;FIXED(Resumo!C15,2)&amp;"): sobra apenas R$ "&amp;FIXED(D10,2)&amp;".","Mês equilibrado: "&amp;FIXED(E10*100,0)&amp;"% da renda comprometida e sobra de R$ "&amp;FIXED(D10,2)&amp;".")))&amp;IF(AND(C10&lt;&gt;"Sem movimentação",J10&gt;0)," Maior despesa do mês: "&amp;K10&amp;" (R$ "&amp;FIXED(J10,2)&amp;").","")</f>
        <v>Mês equilibrado: 18% da renda comprometida e sobra de R$ 5.755,00. Maior despesa do mês: Aluguel ou financiamento do imóvel (R$ 1.200,00).</v>
      </c>
      <c r="G10" s="36" t="str">
        <f>IF(C10="Sem movimentação","Preencha as receitas e despesas deste mês na aba Categorias para receber a análise. Em meses futuros, as fixas já se repetem sozinhas.",IF(C10="Déficit",IF(Resumo!C15=0,"Confira se a renda deste mês foi lançada. Se não houver renda, use a reserva de emergência (se tiver), adie gastos não essenciais e renegocie vencimentos de contas.",_xlfn._LONGTEXT("Para fechar o mês: 1) pague e renegocie primeiro o que gera juros (rotativo do cartão, cheque especial, empréstimos); 2) corte ou adie gastos variáveis (lazer, compras, delivery); 3) revise despesas fixas e assinaturas; 4) evite novas parcelas até recuper","ar o equilíbrio.")),IF(C10="Atenção","Segure os gastos variáveis e evite novas parcelas. Procure manter a renda comprometida abaixo de "&amp;FIXED(Limite*100,0)&amp;"%, formando uma folga para imprevistos, e priorize quitar dívidas com juros.",IF(E10&gt;=0.6,"Boa situação. Direcione parte da sobra para a reserva de emergência (meta usual: de 3 a 6 meses de despesas) e para antecipar dívidas com juros, se houver.","Ótima folga. Aplique a sobra: primeiro a reserva de emergência, depois objetivos de médio e longo prazo (educação, imóvel, aposentadoria). Compare custos e rendimentos antes de investir."))))&amp;IF(AND(OR(C10="Déficit",C10="Atenção"),INDEX(Categorias!$C$44:$N$44,1,1)&gt;0)," A linha '"&amp;Categorias!$B$44&amp;"' soma R$ "&amp;FIXED(INDEX(Categorias!$C$44:$N$44,1,1),2)&amp;" neste mês: evite o rotativo e não use o limite do cartão para cobrir o déficit.","")</f>
        <v>Ótima folga. Aplique a sobra: primeiro a reserva de emergência, depois objetivos de médio e longo prazo (educação, imóvel, aposentadoria). Compare custos e rendimentos antes de investir.</v>
      </c>
      <c r="H10" s="37" t="str">
        <f t="shared" ref="H10:H21" si="0">IF(C10="Sem movimentação","Dica: lance primeiro o que é certo (renda e despesas fixas) e estime o restante.",IF(C10="Déficit",_xlfn._LONGTEXT("Dica de renda extra: ofereça um serviço ligado à sua profissão ou ao seu conhecimento (consultoria, aulas, trabalhos avulsos) ou venda itens sem uso. Mesmo uma renda pequena e regular ajuda. Renegociar dívidas com prazo maior costuma reduzir a parcela do ","mês."),IF(C10="Atenção","Dica: reveja plano de saúde, internet, seguros e assinaturas. Comparar preços e renegociar contratos costuma reduzir a despesa fixa sem mudar seu padrão de vida.",IF(E10&gt;=0.6,"Dica: programe a transferência para a poupança ou investimento no dia em que a renda cair, antes de gastar.","Dica: dê um destino a cada real que sobra, com meta, valor e data (viagem, curso, entrada de um bem)."))))</f>
        <v>Dica: dê um destino a cada real que sobra, com meta, valor e data (viagem, curso, entrada de um bem).</v>
      </c>
      <c r="J10" s="38">
        <f>MAX(INDEX(Categorias!$C$28:$N$41,0,1),INDEX(Categorias!$C$44:$N$55,0,1))</f>
        <v>1200</v>
      </c>
      <c r="K10" s="38" t="str">
        <f>IF(J10&lt;=0,"",IF(MAX(INDEX(Categorias!$C$28:$N$41,0,1))&gt;=J10,IF(INDEX(Categorias!$B$28:$B$41,MATCH(J10,INDEX(Categorias!$C$28:$N$41,0,1),0))="","(sem nome)",INDEX(Categorias!$B$28:$B$41,MATCH(J10,INDEX(Categorias!$C$28:$N$41,0,1),0))),IF(INDEX(Categorias!$B$44:$B$55,MATCH(J10,INDEX(Categorias!$C$44:$N$55,0,1),0))="","(sem nome)",INDEX(Categorias!$B$44:$B$55,MATCH(J10,INDEX(Categorias!$C$44:$N$55,0,1),0)))))</f>
        <v>Aluguel ou financiamento do imóvel</v>
      </c>
    </row>
    <row r="11" spans="2:11" ht="117.75" customHeight="1" x14ac:dyDescent="0.25">
      <c r="B11" s="32" t="s">
        <v>37</v>
      </c>
      <c r="C11" s="33" t="str">
        <f>Resumo!I16</f>
        <v>Equilibrado</v>
      </c>
      <c r="D11" s="34">
        <f>Resumo!G16</f>
        <v>5755</v>
      </c>
      <c r="E11" s="35">
        <f>Resumo!H16</f>
        <v>0.17785714285714285</v>
      </c>
      <c r="F11" s="36" t="str">
        <f>IF(C11="Sem movimentação","Nenhum lançamento neste mês.",IF(C11="Déficit",IF(Resumo!C16=0,"Há despesas de R$ "&amp;FIXED(Resumo!F16,2)&amp;", mas nenhuma receita lançada: déficit de R$ "&amp;FIXED(-D11,2)&amp;".","Déficit de R$ "&amp;FIXED(-D11,2)&amp;": as despesas (R$ "&amp;FIXED(Resumo!F16,2)&amp;") superam a renda (R$ "&amp;FIXED(Resumo!C16,2)&amp;") e comprometem "&amp;FIXED(E11*100,0)&amp;"% dela."),IF(C11="Atenção","Renda comprometida em "&amp;FIXED(E11*100,0)&amp;"% (R$ "&amp;FIXED(Resumo!F16,2)&amp;" de R$ "&amp;FIXED(Resumo!C16,2)&amp;"): sobra apenas R$ "&amp;FIXED(D11,2)&amp;".","Mês equilibrado: "&amp;FIXED(E11*100,0)&amp;"% da renda comprometida e sobra de R$ "&amp;FIXED(D11,2)&amp;".")))&amp;IF(AND(C11&lt;&gt;"Sem movimentação",J11&gt;0)," Maior despesa do mês: "&amp;K11&amp;" (R$ "&amp;FIXED(J11,2)&amp;").","")</f>
        <v>Mês equilibrado: 18% da renda comprometida e sobra de R$ 5.755,00. Maior despesa do mês: Aluguel ou financiamento do imóvel (R$ 1.200,00).</v>
      </c>
      <c r="G11" s="36" t="str">
        <f>IF(C11="Sem movimentação","Preencha as receitas e despesas deste mês na aba Categorias para receber a análise. Em meses futuros, as fixas já se repetem sozinhas.",IF(C11="Déficit",IF(Resumo!C16=0,"Confira se a renda deste mês foi lançada. Se não houver renda, use a reserva de emergência (se tiver), adie gastos não essenciais e renegocie vencimentos de contas.",_xlfn._LONGTEXT("Para fechar o mês: 1) pague e renegocie primeiro o que gera juros (rotativo do cartão, cheque especial, empréstimos); 2) corte ou adie gastos variáveis (lazer, compras, delivery); 3) revise despesas fixas e assinaturas; 4) evite novas parcelas até recuper","ar o equilíbrio.")),IF(C11="Atenção","Segure os gastos variáveis e evite novas parcelas. Procure manter a renda comprometida abaixo de "&amp;FIXED(Limite*100,0)&amp;"%, formando uma folga para imprevistos, e priorize quitar dívidas com juros.",IF(E11&gt;=0.6,"Boa situação. Direcione parte da sobra para a reserva de emergência (meta usual: de 3 a 6 meses de despesas) e para antecipar dívidas com juros, se houver.","Ótima folga. Aplique a sobra: primeiro a reserva de emergência, depois objetivos de médio e longo prazo (educação, imóvel, aposentadoria). Compare custos e rendimentos antes de investir."))))&amp;IF(AND(OR(C11="Déficit",C11="Atenção"),INDEX(Categorias!$C$44:$N$44,1,2)&gt;0)," A linha '"&amp;Categorias!$B$44&amp;"' soma R$ "&amp;FIXED(INDEX(Categorias!$C$44:$N$44,1,2),2)&amp;" neste mês: evite o rotativo e não use o limite do cartão para cobrir o déficit.","")</f>
        <v>Ótima folga. Aplique a sobra: primeiro a reserva de emergência, depois objetivos de médio e longo prazo (educação, imóvel, aposentadoria). Compare custos e rendimentos antes de investir.</v>
      </c>
      <c r="H11" s="37" t="str">
        <f t="shared" si="0"/>
        <v>Dica: dê um destino a cada real que sobra, com meta, valor e data (viagem, curso, entrada de um bem).</v>
      </c>
      <c r="J11" s="38">
        <f>MAX(INDEX(Categorias!$C$28:$N$41,0,2),INDEX(Categorias!$C$44:$N$55,0,2))</f>
        <v>1200</v>
      </c>
      <c r="K11" s="38" t="str">
        <f>IF(J11&lt;=0,"",IF(MAX(INDEX(Categorias!$C$28:$N$41,0,2))&gt;=J11,IF(INDEX(Categorias!$B$28:$B$41,MATCH(J11,INDEX(Categorias!$C$28:$N$41,0,2),0))="","(sem nome)",INDEX(Categorias!$B$28:$B$41,MATCH(J11,INDEX(Categorias!$C$28:$N$41,0,2),0))),IF(INDEX(Categorias!$B$44:$B$55,MATCH(J11,INDEX(Categorias!$C$44:$N$55,0,2),0))="","(sem nome)",INDEX(Categorias!$B$44:$B$55,MATCH(J11,INDEX(Categorias!$C$44:$N$55,0,2),0)))))</f>
        <v>Aluguel ou financiamento do imóvel</v>
      </c>
    </row>
    <row r="12" spans="2:11" ht="117.75" customHeight="1" x14ac:dyDescent="0.25">
      <c r="B12" s="32" t="s">
        <v>38</v>
      </c>
      <c r="C12" s="33" t="str">
        <f>Resumo!I17</f>
        <v>Equilibrado</v>
      </c>
      <c r="D12" s="34">
        <f>Resumo!G17</f>
        <v>5755</v>
      </c>
      <c r="E12" s="35">
        <f>Resumo!H17</f>
        <v>0.17785714285714285</v>
      </c>
      <c r="F12" s="36" t="str">
        <f>IF(C12="Sem movimentação","Nenhum lançamento neste mês.",IF(C12="Déficit",IF(Resumo!C17=0,"Há despesas de R$ "&amp;FIXED(Resumo!F17,2)&amp;", mas nenhuma receita lançada: déficit de R$ "&amp;FIXED(-D12,2)&amp;".","Déficit de R$ "&amp;FIXED(-D12,2)&amp;": as despesas (R$ "&amp;FIXED(Resumo!F17,2)&amp;") superam a renda (R$ "&amp;FIXED(Resumo!C17,2)&amp;") e comprometem "&amp;FIXED(E12*100,0)&amp;"% dela."),IF(C12="Atenção","Renda comprometida em "&amp;FIXED(E12*100,0)&amp;"% (R$ "&amp;FIXED(Resumo!F17,2)&amp;" de R$ "&amp;FIXED(Resumo!C17,2)&amp;"): sobra apenas R$ "&amp;FIXED(D12,2)&amp;".","Mês equilibrado: "&amp;FIXED(E12*100,0)&amp;"% da renda comprometida e sobra de R$ "&amp;FIXED(D12,2)&amp;".")))&amp;IF(AND(C12&lt;&gt;"Sem movimentação",J12&gt;0)," Maior despesa do mês: "&amp;K12&amp;" (R$ "&amp;FIXED(J12,2)&amp;").","")</f>
        <v>Mês equilibrado: 18% da renda comprometida e sobra de R$ 5.755,00. Maior despesa do mês: Aluguel ou financiamento do imóvel (R$ 1.200,00).</v>
      </c>
      <c r="G12" s="36" t="str">
        <f>IF(C12="Sem movimentação","Preencha as receitas e despesas deste mês na aba Categorias para receber a análise. Em meses futuros, as fixas já se repetem sozinhas.",IF(C12="Déficit",IF(Resumo!C17=0,"Confira se a renda deste mês foi lançada. Se não houver renda, use a reserva de emergência (se tiver), adie gastos não essenciais e renegocie vencimentos de contas.",_xlfn._LONGTEXT("Para fechar o mês: 1) pague e renegocie primeiro o que gera juros (rotativo do cartão, cheque especial, empréstimos); 2) corte ou adie gastos variáveis (lazer, compras, delivery); 3) revise despesas fixas e assinaturas; 4) evite novas parcelas até recuper","ar o equilíbrio.")),IF(C12="Atenção","Segure os gastos variáveis e evite novas parcelas. Procure manter a renda comprometida abaixo de "&amp;FIXED(Limite*100,0)&amp;"%, formando uma folga para imprevistos, e priorize quitar dívidas com juros.",IF(E12&gt;=0.6,"Boa situação. Direcione parte da sobra para a reserva de emergência (meta usual: de 3 a 6 meses de despesas) e para antecipar dívidas com juros, se houver.","Ótima folga. Aplique a sobra: primeiro a reserva de emergência, depois objetivos de médio e longo prazo (educação, imóvel, aposentadoria). Compare custos e rendimentos antes de investir."))))&amp;IF(AND(OR(C12="Déficit",C12="Atenção"),INDEX(Categorias!$C$44:$N$44,1,3)&gt;0)," A linha '"&amp;Categorias!$B$44&amp;"' soma R$ "&amp;FIXED(INDEX(Categorias!$C$44:$N$44,1,3),2)&amp;" neste mês: evite o rotativo e não use o limite do cartão para cobrir o déficit.","")</f>
        <v>Ótima folga. Aplique a sobra: primeiro a reserva de emergência, depois objetivos de médio e longo prazo (educação, imóvel, aposentadoria). Compare custos e rendimentos antes de investir.</v>
      </c>
      <c r="H12" s="37" t="str">
        <f t="shared" si="0"/>
        <v>Dica: dê um destino a cada real que sobra, com meta, valor e data (viagem, curso, entrada de um bem).</v>
      </c>
      <c r="J12" s="38">
        <f>MAX(INDEX(Categorias!$C$28:$N$41,0,3),INDEX(Categorias!$C$44:$N$55,0,3))</f>
        <v>1200</v>
      </c>
      <c r="K12" s="38" t="str">
        <f>IF(J12&lt;=0,"",IF(MAX(INDEX(Categorias!$C$28:$N$41,0,3))&gt;=J12,IF(INDEX(Categorias!$B$28:$B$41,MATCH(J12,INDEX(Categorias!$C$28:$N$41,0,3),0))="","(sem nome)",INDEX(Categorias!$B$28:$B$41,MATCH(J12,INDEX(Categorias!$C$28:$N$41,0,3),0))),IF(INDEX(Categorias!$B$44:$B$55,MATCH(J12,INDEX(Categorias!$C$44:$N$55,0,3),0))="","(sem nome)",INDEX(Categorias!$B$44:$B$55,MATCH(J12,INDEX(Categorias!$C$44:$N$55,0,3),0)))))</f>
        <v>Aluguel ou financiamento do imóvel</v>
      </c>
    </row>
    <row r="13" spans="2:11" ht="117.75" customHeight="1" x14ac:dyDescent="0.25">
      <c r="B13" s="32" t="s">
        <v>39</v>
      </c>
      <c r="C13" s="33" t="str">
        <f>Resumo!I18</f>
        <v>Equilibrado</v>
      </c>
      <c r="D13" s="34">
        <f>Resumo!G18</f>
        <v>5755</v>
      </c>
      <c r="E13" s="35">
        <f>Resumo!H18</f>
        <v>0.17785714285714285</v>
      </c>
      <c r="F13" s="36" t="str">
        <f>IF(C13="Sem movimentação","Nenhum lançamento neste mês.",IF(C13="Déficit",IF(Resumo!C18=0,"Há despesas de R$ "&amp;FIXED(Resumo!F18,2)&amp;", mas nenhuma receita lançada: déficit de R$ "&amp;FIXED(-D13,2)&amp;".","Déficit de R$ "&amp;FIXED(-D13,2)&amp;": as despesas (R$ "&amp;FIXED(Resumo!F18,2)&amp;") superam a renda (R$ "&amp;FIXED(Resumo!C18,2)&amp;") e comprometem "&amp;FIXED(E13*100,0)&amp;"% dela."),IF(C13="Atenção","Renda comprometida em "&amp;FIXED(E13*100,0)&amp;"% (R$ "&amp;FIXED(Resumo!F18,2)&amp;" de R$ "&amp;FIXED(Resumo!C18,2)&amp;"): sobra apenas R$ "&amp;FIXED(D13,2)&amp;".","Mês equilibrado: "&amp;FIXED(E13*100,0)&amp;"% da renda comprometida e sobra de R$ "&amp;FIXED(D13,2)&amp;".")))&amp;IF(AND(C13&lt;&gt;"Sem movimentação",J13&gt;0)," Maior despesa do mês: "&amp;K13&amp;" (R$ "&amp;FIXED(J13,2)&amp;").","")</f>
        <v>Mês equilibrado: 18% da renda comprometida e sobra de R$ 5.755,00. Maior despesa do mês: Aluguel ou financiamento do imóvel (R$ 1.200,00).</v>
      </c>
      <c r="G13" s="36" t="str">
        <f>IF(C13="Sem movimentação","Preencha as receitas e despesas deste mês na aba Categorias para receber a análise. Em meses futuros, as fixas já se repetem sozinhas.",IF(C13="Déficit",IF(Resumo!C18=0,"Confira se a renda deste mês foi lançada. Se não houver renda, use a reserva de emergência (se tiver), adie gastos não essenciais e renegocie vencimentos de contas.",_xlfn._LONGTEXT("Para fechar o mês: 1) pague e renegocie primeiro o que gera juros (rotativo do cartão, cheque especial, empréstimos); 2) corte ou adie gastos variáveis (lazer, compras, delivery); 3) revise despesas fixas e assinaturas; 4) evite novas parcelas até recuper","ar o equilíbrio.")),IF(C13="Atenção","Segure os gastos variáveis e evite novas parcelas. Procure manter a renda comprometida abaixo de "&amp;FIXED(Limite*100,0)&amp;"%, formando uma folga para imprevistos, e priorize quitar dívidas com juros.",IF(E13&gt;=0.6,"Boa situação. Direcione parte da sobra para a reserva de emergência (meta usual: de 3 a 6 meses de despesas) e para antecipar dívidas com juros, se houver.","Ótima folga. Aplique a sobra: primeiro a reserva de emergência, depois objetivos de médio e longo prazo (educação, imóvel, aposentadoria). Compare custos e rendimentos antes de investir."))))&amp;IF(AND(OR(C13="Déficit",C13="Atenção"),INDEX(Categorias!$C$44:$N$44,1,4)&gt;0)," A linha '"&amp;Categorias!$B$44&amp;"' soma R$ "&amp;FIXED(INDEX(Categorias!$C$44:$N$44,1,4),2)&amp;" neste mês: evite o rotativo e não use o limite do cartão para cobrir o déficit.","")</f>
        <v>Ótima folga. Aplique a sobra: primeiro a reserva de emergência, depois objetivos de médio e longo prazo (educação, imóvel, aposentadoria). Compare custos e rendimentos antes de investir.</v>
      </c>
      <c r="H13" s="37" t="str">
        <f t="shared" si="0"/>
        <v>Dica: dê um destino a cada real que sobra, com meta, valor e data (viagem, curso, entrada de um bem).</v>
      </c>
      <c r="J13" s="38">
        <f>MAX(INDEX(Categorias!$C$28:$N$41,0,4),INDEX(Categorias!$C$44:$N$55,0,4))</f>
        <v>1200</v>
      </c>
      <c r="K13" s="38" t="str">
        <f>IF(J13&lt;=0,"",IF(MAX(INDEX(Categorias!$C$28:$N$41,0,4))&gt;=J13,IF(INDEX(Categorias!$B$28:$B$41,MATCH(J13,INDEX(Categorias!$C$28:$N$41,0,4),0))="","(sem nome)",INDEX(Categorias!$B$28:$B$41,MATCH(J13,INDEX(Categorias!$C$28:$N$41,0,4),0))),IF(INDEX(Categorias!$B$44:$B$55,MATCH(J13,INDEX(Categorias!$C$44:$N$55,0,4),0))="","(sem nome)",INDEX(Categorias!$B$44:$B$55,MATCH(J13,INDEX(Categorias!$C$44:$N$55,0,4),0)))))</f>
        <v>Aluguel ou financiamento do imóvel</v>
      </c>
    </row>
    <row r="14" spans="2:11" ht="117.75" customHeight="1" x14ac:dyDescent="0.25">
      <c r="B14" s="32" t="s">
        <v>40</v>
      </c>
      <c r="C14" s="33" t="str">
        <f>Resumo!I19</f>
        <v>Equilibrado</v>
      </c>
      <c r="D14" s="34">
        <f>Resumo!G19</f>
        <v>5755</v>
      </c>
      <c r="E14" s="35">
        <f>Resumo!H19</f>
        <v>0.17785714285714285</v>
      </c>
      <c r="F14" s="36" t="str">
        <f>IF(C14="Sem movimentação","Nenhum lançamento neste mês.",IF(C14="Déficit",IF(Resumo!C19=0,"Há despesas de R$ "&amp;FIXED(Resumo!F19,2)&amp;", mas nenhuma receita lançada: déficit de R$ "&amp;FIXED(-D14,2)&amp;".","Déficit de R$ "&amp;FIXED(-D14,2)&amp;": as despesas (R$ "&amp;FIXED(Resumo!F19,2)&amp;") superam a renda (R$ "&amp;FIXED(Resumo!C19,2)&amp;") e comprometem "&amp;FIXED(E14*100,0)&amp;"% dela."),IF(C14="Atenção","Renda comprometida em "&amp;FIXED(E14*100,0)&amp;"% (R$ "&amp;FIXED(Resumo!F19,2)&amp;" de R$ "&amp;FIXED(Resumo!C19,2)&amp;"): sobra apenas R$ "&amp;FIXED(D14,2)&amp;".","Mês equilibrado: "&amp;FIXED(E14*100,0)&amp;"% da renda comprometida e sobra de R$ "&amp;FIXED(D14,2)&amp;".")))&amp;IF(AND(C14&lt;&gt;"Sem movimentação",J14&gt;0)," Maior despesa do mês: "&amp;K14&amp;" (R$ "&amp;FIXED(J14,2)&amp;").","")</f>
        <v>Mês equilibrado: 18% da renda comprometida e sobra de R$ 5.755,00. Maior despesa do mês: Aluguel ou financiamento do imóvel (R$ 1.200,00).</v>
      </c>
      <c r="G14" s="36" t="str">
        <f>IF(C14="Sem movimentação","Preencha as receitas e despesas deste mês na aba Categorias para receber a análise. Em meses futuros, as fixas já se repetem sozinhas.",IF(C14="Déficit",IF(Resumo!C19=0,"Confira se a renda deste mês foi lançada. Se não houver renda, use a reserva de emergência (se tiver), adie gastos não essenciais e renegocie vencimentos de contas.",_xlfn._LONGTEXT("Para fechar o mês: 1) pague e renegocie primeiro o que gera juros (rotativo do cartão, cheque especial, empréstimos); 2) corte ou adie gastos variáveis (lazer, compras, delivery); 3) revise despesas fixas e assinaturas; 4) evite novas parcelas até recuper","ar o equilíbrio.")),IF(C14="Atenção","Segure os gastos variáveis e evite novas parcelas. Procure manter a renda comprometida abaixo de "&amp;FIXED(Limite*100,0)&amp;"%, formando uma folga para imprevistos, e priorize quitar dívidas com juros.",IF(E14&gt;=0.6,"Boa situação. Direcione parte da sobra para a reserva de emergência (meta usual: de 3 a 6 meses de despesas) e para antecipar dívidas com juros, se houver.","Ótima folga. Aplique a sobra: primeiro a reserva de emergência, depois objetivos de médio e longo prazo (educação, imóvel, aposentadoria). Compare custos e rendimentos antes de investir."))))&amp;IF(AND(OR(C14="Déficit",C14="Atenção"),INDEX(Categorias!$C$44:$N$44,1,5)&gt;0)," A linha '"&amp;Categorias!$B$44&amp;"' soma R$ "&amp;FIXED(INDEX(Categorias!$C$44:$N$44,1,5),2)&amp;" neste mês: evite o rotativo e não use o limite do cartão para cobrir o déficit.","")</f>
        <v>Ótima folga. Aplique a sobra: primeiro a reserva de emergência, depois objetivos de médio e longo prazo (educação, imóvel, aposentadoria). Compare custos e rendimentos antes de investir.</v>
      </c>
      <c r="H14" s="37" t="str">
        <f t="shared" si="0"/>
        <v>Dica: dê um destino a cada real que sobra, com meta, valor e data (viagem, curso, entrada de um bem).</v>
      </c>
      <c r="J14" s="38">
        <f>MAX(INDEX(Categorias!$C$28:$N$41,0,5),INDEX(Categorias!$C$44:$N$55,0,5))</f>
        <v>1200</v>
      </c>
      <c r="K14" s="38" t="str">
        <f>IF(J14&lt;=0,"",IF(MAX(INDEX(Categorias!$C$28:$N$41,0,5))&gt;=J14,IF(INDEX(Categorias!$B$28:$B$41,MATCH(J14,INDEX(Categorias!$C$28:$N$41,0,5),0))="","(sem nome)",INDEX(Categorias!$B$28:$B$41,MATCH(J14,INDEX(Categorias!$C$28:$N$41,0,5),0))),IF(INDEX(Categorias!$B$44:$B$55,MATCH(J14,INDEX(Categorias!$C$44:$N$55,0,5),0))="","(sem nome)",INDEX(Categorias!$B$44:$B$55,MATCH(J14,INDEX(Categorias!$C$44:$N$55,0,5),0)))))</f>
        <v>Aluguel ou financiamento do imóvel</v>
      </c>
    </row>
    <row r="15" spans="2:11" ht="117.75" customHeight="1" x14ac:dyDescent="0.25">
      <c r="B15" s="32" t="s">
        <v>41</v>
      </c>
      <c r="C15" s="33" t="str">
        <f>Resumo!I20</f>
        <v>Equilibrado</v>
      </c>
      <c r="D15" s="34">
        <f>Resumo!G20</f>
        <v>5755</v>
      </c>
      <c r="E15" s="35">
        <f>Resumo!H20</f>
        <v>0.17785714285714285</v>
      </c>
      <c r="F15" s="36" t="str">
        <f>IF(C15="Sem movimentação","Nenhum lançamento neste mês.",IF(C15="Déficit",IF(Resumo!C20=0,"Há despesas de R$ "&amp;FIXED(Resumo!F20,2)&amp;", mas nenhuma receita lançada: déficit de R$ "&amp;FIXED(-D15,2)&amp;".","Déficit de R$ "&amp;FIXED(-D15,2)&amp;": as despesas (R$ "&amp;FIXED(Resumo!F20,2)&amp;") superam a renda (R$ "&amp;FIXED(Resumo!C20,2)&amp;") e comprometem "&amp;FIXED(E15*100,0)&amp;"% dela."),IF(C15="Atenção","Renda comprometida em "&amp;FIXED(E15*100,0)&amp;"% (R$ "&amp;FIXED(Resumo!F20,2)&amp;" de R$ "&amp;FIXED(Resumo!C20,2)&amp;"): sobra apenas R$ "&amp;FIXED(D15,2)&amp;".","Mês equilibrado: "&amp;FIXED(E15*100,0)&amp;"% da renda comprometida e sobra de R$ "&amp;FIXED(D15,2)&amp;".")))&amp;IF(AND(C15&lt;&gt;"Sem movimentação",J15&gt;0)," Maior despesa do mês: "&amp;K15&amp;" (R$ "&amp;FIXED(J15,2)&amp;").","")</f>
        <v>Mês equilibrado: 18% da renda comprometida e sobra de R$ 5.755,00. Maior despesa do mês: Aluguel ou financiamento do imóvel (R$ 1.200,00).</v>
      </c>
      <c r="G15" s="36" t="str">
        <f>IF(C15="Sem movimentação","Preencha as receitas e despesas deste mês na aba Categorias para receber a análise. Em meses futuros, as fixas já se repetem sozinhas.",IF(C15="Déficit",IF(Resumo!C20=0,"Confira se a renda deste mês foi lançada. Se não houver renda, use a reserva de emergência (se tiver), adie gastos não essenciais e renegocie vencimentos de contas.",_xlfn._LONGTEXT("Para fechar o mês: 1) pague e renegocie primeiro o que gera juros (rotativo do cartão, cheque especial, empréstimos); 2) corte ou adie gastos variáveis (lazer, compras, delivery); 3) revise despesas fixas e assinaturas; 4) evite novas parcelas até recuper","ar o equilíbrio.")),IF(C15="Atenção","Segure os gastos variáveis e evite novas parcelas. Procure manter a renda comprometida abaixo de "&amp;FIXED(Limite*100,0)&amp;"%, formando uma folga para imprevistos, e priorize quitar dívidas com juros.",IF(E15&gt;=0.6,"Boa situação. Direcione parte da sobra para a reserva de emergência (meta usual: de 3 a 6 meses de despesas) e para antecipar dívidas com juros, se houver.","Ótima folga. Aplique a sobra: primeiro a reserva de emergência, depois objetivos de médio e longo prazo (educação, imóvel, aposentadoria). Compare custos e rendimentos antes de investir."))))&amp;IF(AND(OR(C15="Déficit",C15="Atenção"),INDEX(Categorias!$C$44:$N$44,1,6)&gt;0)," A linha '"&amp;Categorias!$B$44&amp;"' soma R$ "&amp;FIXED(INDEX(Categorias!$C$44:$N$44,1,6),2)&amp;" neste mês: evite o rotativo e não use o limite do cartão para cobrir o déficit.","")</f>
        <v>Ótima folga. Aplique a sobra: primeiro a reserva de emergência, depois objetivos de médio e longo prazo (educação, imóvel, aposentadoria). Compare custos e rendimentos antes de investir.</v>
      </c>
      <c r="H15" s="37" t="str">
        <f t="shared" si="0"/>
        <v>Dica: dê um destino a cada real que sobra, com meta, valor e data (viagem, curso, entrada de um bem).</v>
      </c>
      <c r="J15" s="38">
        <f>MAX(INDEX(Categorias!$C$28:$N$41,0,6),INDEX(Categorias!$C$44:$N$55,0,6))</f>
        <v>1200</v>
      </c>
      <c r="K15" s="38" t="str">
        <f>IF(J15&lt;=0,"",IF(MAX(INDEX(Categorias!$C$28:$N$41,0,6))&gt;=J15,IF(INDEX(Categorias!$B$28:$B$41,MATCH(J15,INDEX(Categorias!$C$28:$N$41,0,6),0))="","(sem nome)",INDEX(Categorias!$B$28:$B$41,MATCH(J15,INDEX(Categorias!$C$28:$N$41,0,6),0))),IF(INDEX(Categorias!$B$44:$B$55,MATCH(J15,INDEX(Categorias!$C$44:$N$55,0,6),0))="","(sem nome)",INDEX(Categorias!$B$44:$B$55,MATCH(J15,INDEX(Categorias!$C$44:$N$55,0,6),0)))))</f>
        <v>Aluguel ou financiamento do imóvel</v>
      </c>
    </row>
    <row r="16" spans="2:11" ht="117.75" customHeight="1" x14ac:dyDescent="0.25">
      <c r="B16" s="32" t="s">
        <v>42</v>
      </c>
      <c r="C16" s="33" t="str">
        <f>Resumo!I21</f>
        <v>Equilibrado</v>
      </c>
      <c r="D16" s="34">
        <f>Resumo!G21</f>
        <v>5755</v>
      </c>
      <c r="E16" s="35">
        <f>Resumo!H21</f>
        <v>0.17785714285714285</v>
      </c>
      <c r="F16" s="36" t="str">
        <f>IF(C16="Sem movimentação","Nenhum lançamento neste mês.",IF(C16="Déficit",IF(Resumo!C21=0,"Há despesas de R$ "&amp;FIXED(Resumo!F21,2)&amp;", mas nenhuma receita lançada: déficit de R$ "&amp;FIXED(-D16,2)&amp;".","Déficit de R$ "&amp;FIXED(-D16,2)&amp;": as despesas (R$ "&amp;FIXED(Resumo!F21,2)&amp;") superam a renda (R$ "&amp;FIXED(Resumo!C21,2)&amp;") e comprometem "&amp;FIXED(E16*100,0)&amp;"% dela."),IF(C16="Atenção","Renda comprometida em "&amp;FIXED(E16*100,0)&amp;"% (R$ "&amp;FIXED(Resumo!F21,2)&amp;" de R$ "&amp;FIXED(Resumo!C21,2)&amp;"): sobra apenas R$ "&amp;FIXED(D16,2)&amp;".","Mês equilibrado: "&amp;FIXED(E16*100,0)&amp;"% da renda comprometida e sobra de R$ "&amp;FIXED(D16,2)&amp;".")))&amp;IF(AND(C16&lt;&gt;"Sem movimentação",J16&gt;0)," Maior despesa do mês: "&amp;K16&amp;" (R$ "&amp;FIXED(J16,2)&amp;").","")</f>
        <v>Mês equilibrado: 18% da renda comprometida e sobra de R$ 5.755,00. Maior despesa do mês: Aluguel ou financiamento do imóvel (R$ 1.200,00).</v>
      </c>
      <c r="G16" s="36" t="str">
        <f>IF(C16="Sem movimentação","Preencha as receitas e despesas deste mês na aba Categorias para receber a análise. Em meses futuros, as fixas já se repetem sozinhas.",IF(C16="Déficit",IF(Resumo!C21=0,"Confira se a renda deste mês foi lançada. Se não houver renda, use a reserva de emergência (se tiver), adie gastos não essenciais e renegocie vencimentos de contas.",_xlfn._LONGTEXT("Para fechar o mês: 1) pague e renegocie primeiro o que gera juros (rotativo do cartão, cheque especial, empréstimos); 2) corte ou adie gastos variáveis (lazer, compras, delivery); 3) revise despesas fixas e assinaturas; 4) evite novas parcelas até recuper","ar o equilíbrio.")),IF(C16="Atenção","Segure os gastos variáveis e evite novas parcelas. Procure manter a renda comprometida abaixo de "&amp;FIXED(Limite*100,0)&amp;"%, formando uma folga para imprevistos, e priorize quitar dívidas com juros.",IF(E16&gt;=0.6,"Boa situação. Direcione parte da sobra para a reserva de emergência (meta usual: de 3 a 6 meses de despesas) e para antecipar dívidas com juros, se houver.","Ótima folga. Aplique a sobra: primeiro a reserva de emergência, depois objetivos de médio e longo prazo (educação, imóvel, aposentadoria). Compare custos e rendimentos antes de investir."))))&amp;IF(AND(OR(C16="Déficit",C16="Atenção"),INDEX(Categorias!$C$44:$N$44,1,7)&gt;0)," A linha '"&amp;Categorias!$B$44&amp;"' soma R$ "&amp;FIXED(INDEX(Categorias!$C$44:$N$44,1,7),2)&amp;" neste mês: evite o rotativo e não use o limite do cartão para cobrir o déficit.","")</f>
        <v>Ótima folga. Aplique a sobra: primeiro a reserva de emergência, depois objetivos de médio e longo prazo (educação, imóvel, aposentadoria). Compare custos e rendimentos antes de investir.</v>
      </c>
      <c r="H16" s="37" t="str">
        <f t="shared" si="0"/>
        <v>Dica: dê um destino a cada real que sobra, com meta, valor e data (viagem, curso, entrada de um bem).</v>
      </c>
      <c r="J16" s="38">
        <f>MAX(INDEX(Categorias!$C$28:$N$41,0,7),INDEX(Categorias!$C$44:$N$55,0,7))</f>
        <v>1200</v>
      </c>
      <c r="K16" s="38" t="str">
        <f>IF(J16&lt;=0,"",IF(MAX(INDEX(Categorias!$C$28:$N$41,0,7))&gt;=J16,IF(INDEX(Categorias!$B$28:$B$41,MATCH(J16,INDEX(Categorias!$C$28:$N$41,0,7),0))="","(sem nome)",INDEX(Categorias!$B$28:$B$41,MATCH(J16,INDEX(Categorias!$C$28:$N$41,0,7),0))),IF(INDEX(Categorias!$B$44:$B$55,MATCH(J16,INDEX(Categorias!$C$44:$N$55,0,7),0))="","(sem nome)",INDEX(Categorias!$B$44:$B$55,MATCH(J16,INDEX(Categorias!$C$44:$N$55,0,7),0)))))</f>
        <v>Aluguel ou financiamento do imóvel</v>
      </c>
    </row>
    <row r="17" spans="2:11" ht="117.75" customHeight="1" x14ac:dyDescent="0.25">
      <c r="B17" s="32" t="s">
        <v>43</v>
      </c>
      <c r="C17" s="33" t="str">
        <f>Resumo!I22</f>
        <v>Equilibrado</v>
      </c>
      <c r="D17" s="34">
        <f>Resumo!G22</f>
        <v>5755</v>
      </c>
      <c r="E17" s="35">
        <f>Resumo!H22</f>
        <v>0.17785714285714285</v>
      </c>
      <c r="F17" s="36" t="str">
        <f>IF(C17="Sem movimentação","Nenhum lançamento neste mês.",IF(C17="Déficit",IF(Resumo!C22=0,"Há despesas de R$ "&amp;FIXED(Resumo!F22,2)&amp;", mas nenhuma receita lançada: déficit de R$ "&amp;FIXED(-D17,2)&amp;".","Déficit de R$ "&amp;FIXED(-D17,2)&amp;": as despesas (R$ "&amp;FIXED(Resumo!F22,2)&amp;") superam a renda (R$ "&amp;FIXED(Resumo!C22,2)&amp;") e comprometem "&amp;FIXED(E17*100,0)&amp;"% dela."),IF(C17="Atenção","Renda comprometida em "&amp;FIXED(E17*100,0)&amp;"% (R$ "&amp;FIXED(Resumo!F22,2)&amp;" de R$ "&amp;FIXED(Resumo!C22,2)&amp;"): sobra apenas R$ "&amp;FIXED(D17,2)&amp;".","Mês equilibrado: "&amp;FIXED(E17*100,0)&amp;"% da renda comprometida e sobra de R$ "&amp;FIXED(D17,2)&amp;".")))&amp;IF(AND(C17&lt;&gt;"Sem movimentação",J17&gt;0)," Maior despesa do mês: "&amp;K17&amp;" (R$ "&amp;FIXED(J17,2)&amp;").","")</f>
        <v>Mês equilibrado: 18% da renda comprometida e sobra de R$ 5.755,00. Maior despesa do mês: Aluguel ou financiamento do imóvel (R$ 1.200,00).</v>
      </c>
      <c r="G17" s="36" t="str">
        <f>IF(C17="Sem movimentação","Preencha as receitas e despesas deste mês na aba Categorias para receber a análise. Em meses futuros, as fixas já se repetem sozinhas.",IF(C17="Déficit",IF(Resumo!C22=0,"Confira se a renda deste mês foi lançada. Se não houver renda, use a reserva de emergência (se tiver), adie gastos não essenciais e renegocie vencimentos de contas.",_xlfn._LONGTEXT("Para fechar o mês: 1) pague e renegocie primeiro o que gera juros (rotativo do cartão, cheque especial, empréstimos); 2) corte ou adie gastos variáveis (lazer, compras, delivery); 3) revise despesas fixas e assinaturas; 4) evite novas parcelas até recuper","ar o equilíbrio.")),IF(C17="Atenção","Segure os gastos variáveis e evite novas parcelas. Procure manter a renda comprometida abaixo de "&amp;FIXED(Limite*100,0)&amp;"%, formando uma folga para imprevistos, e priorize quitar dívidas com juros.",IF(E17&gt;=0.6,"Boa situação. Direcione parte da sobra para a reserva de emergência (meta usual: de 3 a 6 meses de despesas) e para antecipar dívidas com juros, se houver.","Ótima folga. Aplique a sobra: primeiro a reserva de emergência, depois objetivos de médio e longo prazo (educação, imóvel, aposentadoria). Compare custos e rendimentos antes de investir."))))&amp;IF(AND(OR(C17="Déficit",C17="Atenção"),INDEX(Categorias!$C$44:$N$44,1,8)&gt;0)," A linha '"&amp;Categorias!$B$44&amp;"' soma R$ "&amp;FIXED(INDEX(Categorias!$C$44:$N$44,1,8),2)&amp;" neste mês: evite o rotativo e não use o limite do cartão para cobrir o déficit.","")</f>
        <v>Ótima folga. Aplique a sobra: primeiro a reserva de emergência, depois objetivos de médio e longo prazo (educação, imóvel, aposentadoria). Compare custos e rendimentos antes de investir.</v>
      </c>
      <c r="H17" s="37" t="str">
        <f t="shared" si="0"/>
        <v>Dica: dê um destino a cada real que sobra, com meta, valor e data (viagem, curso, entrada de um bem).</v>
      </c>
      <c r="J17" s="38">
        <f>MAX(INDEX(Categorias!$C$28:$N$41,0,8),INDEX(Categorias!$C$44:$N$55,0,8))</f>
        <v>1200</v>
      </c>
      <c r="K17" s="38" t="str">
        <f>IF(J17&lt;=0,"",IF(MAX(INDEX(Categorias!$C$28:$N$41,0,8))&gt;=J17,IF(INDEX(Categorias!$B$28:$B$41,MATCH(J17,INDEX(Categorias!$C$28:$N$41,0,8),0))="","(sem nome)",INDEX(Categorias!$B$28:$B$41,MATCH(J17,INDEX(Categorias!$C$28:$N$41,0,8),0))),IF(INDEX(Categorias!$B$44:$B$55,MATCH(J17,INDEX(Categorias!$C$44:$N$55,0,8),0))="","(sem nome)",INDEX(Categorias!$B$44:$B$55,MATCH(J17,INDEX(Categorias!$C$44:$N$55,0,8),0)))))</f>
        <v>Aluguel ou financiamento do imóvel</v>
      </c>
    </row>
    <row r="18" spans="2:11" ht="117.75" customHeight="1" x14ac:dyDescent="0.25">
      <c r="B18" s="32" t="s">
        <v>44</v>
      </c>
      <c r="C18" s="33" t="str">
        <f>Resumo!I23</f>
        <v>Equilibrado</v>
      </c>
      <c r="D18" s="34">
        <f>Resumo!G23</f>
        <v>5755</v>
      </c>
      <c r="E18" s="35">
        <f>Resumo!H23</f>
        <v>0.17785714285714285</v>
      </c>
      <c r="F18" s="36" t="str">
        <f>IF(C18="Sem movimentação","Nenhum lançamento neste mês.",IF(C18="Déficit",IF(Resumo!C23=0,"Há despesas de R$ "&amp;FIXED(Resumo!F23,2)&amp;", mas nenhuma receita lançada: déficit de R$ "&amp;FIXED(-D18,2)&amp;".","Déficit de R$ "&amp;FIXED(-D18,2)&amp;": as despesas (R$ "&amp;FIXED(Resumo!F23,2)&amp;") superam a renda (R$ "&amp;FIXED(Resumo!C23,2)&amp;") e comprometem "&amp;FIXED(E18*100,0)&amp;"% dela."),IF(C18="Atenção","Renda comprometida em "&amp;FIXED(E18*100,0)&amp;"% (R$ "&amp;FIXED(Resumo!F23,2)&amp;" de R$ "&amp;FIXED(Resumo!C23,2)&amp;"): sobra apenas R$ "&amp;FIXED(D18,2)&amp;".","Mês equilibrado: "&amp;FIXED(E18*100,0)&amp;"% da renda comprometida e sobra de R$ "&amp;FIXED(D18,2)&amp;".")))&amp;IF(AND(C18&lt;&gt;"Sem movimentação",J18&gt;0)," Maior despesa do mês: "&amp;K18&amp;" (R$ "&amp;FIXED(J18,2)&amp;").","")</f>
        <v>Mês equilibrado: 18% da renda comprometida e sobra de R$ 5.755,00. Maior despesa do mês: Aluguel ou financiamento do imóvel (R$ 1.200,00).</v>
      </c>
      <c r="G18" s="36" t="str">
        <f>IF(C18="Sem movimentação","Preencha as receitas e despesas deste mês na aba Categorias para receber a análise. Em meses futuros, as fixas já se repetem sozinhas.",IF(C18="Déficit",IF(Resumo!C23=0,"Confira se a renda deste mês foi lançada. Se não houver renda, use a reserva de emergência (se tiver), adie gastos não essenciais e renegocie vencimentos de contas.",_xlfn._LONGTEXT("Para fechar o mês: 1) pague e renegocie primeiro o que gera juros (rotativo do cartão, cheque especial, empréstimos); 2) corte ou adie gastos variáveis (lazer, compras, delivery); 3) revise despesas fixas e assinaturas; 4) evite novas parcelas até recuper","ar o equilíbrio.")),IF(C18="Atenção","Segure os gastos variáveis e evite novas parcelas. Procure manter a renda comprometida abaixo de "&amp;FIXED(Limite*100,0)&amp;"%, formando uma folga para imprevistos, e priorize quitar dívidas com juros.",IF(E18&gt;=0.6,"Boa situação. Direcione parte da sobra para a reserva de emergência (meta usual: de 3 a 6 meses de despesas) e para antecipar dívidas com juros, se houver.","Ótima folga. Aplique a sobra: primeiro a reserva de emergência, depois objetivos de médio e longo prazo (educação, imóvel, aposentadoria). Compare custos e rendimentos antes de investir."))))&amp;IF(AND(OR(C18="Déficit",C18="Atenção"),INDEX(Categorias!$C$44:$N$44,1,9)&gt;0)," A linha '"&amp;Categorias!$B$44&amp;"' soma R$ "&amp;FIXED(INDEX(Categorias!$C$44:$N$44,1,9),2)&amp;" neste mês: evite o rotativo e não use o limite do cartão para cobrir o déficit.","")</f>
        <v>Ótima folga. Aplique a sobra: primeiro a reserva de emergência, depois objetivos de médio e longo prazo (educação, imóvel, aposentadoria). Compare custos e rendimentos antes de investir.</v>
      </c>
      <c r="H18" s="37" t="str">
        <f t="shared" si="0"/>
        <v>Dica: dê um destino a cada real que sobra, com meta, valor e data (viagem, curso, entrada de um bem).</v>
      </c>
      <c r="J18" s="38">
        <f>MAX(INDEX(Categorias!$C$28:$N$41,0,9),INDEX(Categorias!$C$44:$N$55,0,9))</f>
        <v>1200</v>
      </c>
      <c r="K18" s="38" t="str">
        <f>IF(J18&lt;=0,"",IF(MAX(INDEX(Categorias!$C$28:$N$41,0,9))&gt;=J18,IF(INDEX(Categorias!$B$28:$B$41,MATCH(J18,INDEX(Categorias!$C$28:$N$41,0,9),0))="","(sem nome)",INDEX(Categorias!$B$28:$B$41,MATCH(J18,INDEX(Categorias!$C$28:$N$41,0,9),0))),IF(INDEX(Categorias!$B$44:$B$55,MATCH(J18,INDEX(Categorias!$C$44:$N$55,0,9),0))="","(sem nome)",INDEX(Categorias!$B$44:$B$55,MATCH(J18,INDEX(Categorias!$C$44:$N$55,0,9),0)))))</f>
        <v>Aluguel ou financiamento do imóvel</v>
      </c>
    </row>
    <row r="19" spans="2:11" ht="117.75" customHeight="1" x14ac:dyDescent="0.25">
      <c r="B19" s="32" t="s">
        <v>45</v>
      </c>
      <c r="C19" s="33" t="str">
        <f>Resumo!I24</f>
        <v>Equilibrado</v>
      </c>
      <c r="D19" s="34">
        <f>Resumo!G24</f>
        <v>5755</v>
      </c>
      <c r="E19" s="35">
        <f>Resumo!H24</f>
        <v>0.17785714285714285</v>
      </c>
      <c r="F19" s="36" t="str">
        <f>IF(C19="Sem movimentação","Nenhum lançamento neste mês.",IF(C19="Déficit",IF(Resumo!C24=0,"Há despesas de R$ "&amp;FIXED(Resumo!F24,2)&amp;", mas nenhuma receita lançada: déficit de R$ "&amp;FIXED(-D19,2)&amp;".","Déficit de R$ "&amp;FIXED(-D19,2)&amp;": as despesas (R$ "&amp;FIXED(Resumo!F24,2)&amp;") superam a renda (R$ "&amp;FIXED(Resumo!C24,2)&amp;") e comprometem "&amp;FIXED(E19*100,0)&amp;"% dela."),IF(C19="Atenção","Renda comprometida em "&amp;FIXED(E19*100,0)&amp;"% (R$ "&amp;FIXED(Resumo!F24,2)&amp;" de R$ "&amp;FIXED(Resumo!C24,2)&amp;"): sobra apenas R$ "&amp;FIXED(D19,2)&amp;".","Mês equilibrado: "&amp;FIXED(E19*100,0)&amp;"% da renda comprometida e sobra de R$ "&amp;FIXED(D19,2)&amp;".")))&amp;IF(AND(C19&lt;&gt;"Sem movimentação",J19&gt;0)," Maior despesa do mês: "&amp;K19&amp;" (R$ "&amp;FIXED(J19,2)&amp;").","")</f>
        <v>Mês equilibrado: 18% da renda comprometida e sobra de R$ 5.755,00. Maior despesa do mês: Aluguel ou financiamento do imóvel (R$ 1.200,00).</v>
      </c>
      <c r="G19" s="36" t="str">
        <f>IF(C19="Sem movimentação","Preencha as receitas e despesas deste mês na aba Categorias para receber a análise. Em meses futuros, as fixas já se repetem sozinhas.",IF(C19="Déficit",IF(Resumo!C24=0,"Confira se a renda deste mês foi lançada. Se não houver renda, use a reserva de emergência (se tiver), adie gastos não essenciais e renegocie vencimentos de contas.",_xlfn._LONGTEXT("Para fechar o mês: 1) pague e renegocie primeiro o que gera juros (rotativo do cartão, cheque especial, empréstimos); 2) corte ou adie gastos variáveis (lazer, compras, delivery); 3) revise despesas fixas e assinaturas; 4) evite novas parcelas até recuper","ar o equilíbrio.")),IF(C19="Atenção","Segure os gastos variáveis e evite novas parcelas. Procure manter a renda comprometida abaixo de "&amp;FIXED(Limite*100,0)&amp;"%, formando uma folga para imprevistos, e priorize quitar dívidas com juros.",IF(E19&gt;=0.6,"Boa situação. Direcione parte da sobra para a reserva de emergência (meta usual: de 3 a 6 meses de despesas) e para antecipar dívidas com juros, se houver.","Ótima folga. Aplique a sobra: primeiro a reserva de emergência, depois objetivos de médio e longo prazo (educação, imóvel, aposentadoria). Compare custos e rendimentos antes de investir."))))&amp;IF(AND(OR(C19="Déficit",C19="Atenção"),INDEX(Categorias!$C$44:$N$44,1,10)&gt;0)," A linha '"&amp;Categorias!$B$44&amp;"' soma R$ "&amp;FIXED(INDEX(Categorias!$C$44:$N$44,1,10),2)&amp;" neste mês: evite o rotativo e não use o limite do cartão para cobrir o déficit.","")</f>
        <v>Ótima folga. Aplique a sobra: primeiro a reserva de emergência, depois objetivos de médio e longo prazo (educação, imóvel, aposentadoria). Compare custos e rendimentos antes de investir.</v>
      </c>
      <c r="H19" s="37" t="str">
        <f t="shared" si="0"/>
        <v>Dica: dê um destino a cada real que sobra, com meta, valor e data (viagem, curso, entrada de um bem).</v>
      </c>
      <c r="J19" s="38">
        <f>MAX(INDEX(Categorias!$C$28:$N$41,0,10),INDEX(Categorias!$C$44:$N$55,0,10))</f>
        <v>1200</v>
      </c>
      <c r="K19" s="38" t="str">
        <f>IF(J19&lt;=0,"",IF(MAX(INDEX(Categorias!$C$28:$N$41,0,10))&gt;=J19,IF(INDEX(Categorias!$B$28:$B$41,MATCH(J19,INDEX(Categorias!$C$28:$N$41,0,10),0))="","(sem nome)",INDEX(Categorias!$B$28:$B$41,MATCH(J19,INDEX(Categorias!$C$28:$N$41,0,10),0))),IF(INDEX(Categorias!$B$44:$B$55,MATCH(J19,INDEX(Categorias!$C$44:$N$55,0,10),0))="","(sem nome)",INDEX(Categorias!$B$44:$B$55,MATCH(J19,INDEX(Categorias!$C$44:$N$55,0,10),0)))))</f>
        <v>Aluguel ou financiamento do imóvel</v>
      </c>
    </row>
    <row r="20" spans="2:11" ht="117.75" customHeight="1" x14ac:dyDescent="0.25">
      <c r="B20" s="32" t="s">
        <v>46</v>
      </c>
      <c r="C20" s="33" t="str">
        <f>Resumo!I25</f>
        <v>Equilibrado</v>
      </c>
      <c r="D20" s="34">
        <f>Resumo!G25</f>
        <v>5755</v>
      </c>
      <c r="E20" s="35">
        <f>Resumo!H25</f>
        <v>0.17785714285714285</v>
      </c>
      <c r="F20" s="36" t="str">
        <f>IF(C20="Sem movimentação","Nenhum lançamento neste mês.",IF(C20="Déficit",IF(Resumo!C25=0,"Há despesas de R$ "&amp;FIXED(Resumo!F25,2)&amp;", mas nenhuma receita lançada: déficit de R$ "&amp;FIXED(-D20,2)&amp;".","Déficit de R$ "&amp;FIXED(-D20,2)&amp;": as despesas (R$ "&amp;FIXED(Resumo!F25,2)&amp;") superam a renda (R$ "&amp;FIXED(Resumo!C25,2)&amp;") e comprometem "&amp;FIXED(E20*100,0)&amp;"% dela."),IF(C20="Atenção","Renda comprometida em "&amp;FIXED(E20*100,0)&amp;"% (R$ "&amp;FIXED(Resumo!F25,2)&amp;" de R$ "&amp;FIXED(Resumo!C25,2)&amp;"): sobra apenas R$ "&amp;FIXED(D20,2)&amp;".","Mês equilibrado: "&amp;FIXED(E20*100,0)&amp;"% da renda comprometida e sobra de R$ "&amp;FIXED(D20,2)&amp;".")))&amp;IF(AND(C20&lt;&gt;"Sem movimentação",J20&gt;0)," Maior despesa do mês: "&amp;K20&amp;" (R$ "&amp;FIXED(J20,2)&amp;").","")</f>
        <v>Mês equilibrado: 18% da renda comprometida e sobra de R$ 5.755,00. Maior despesa do mês: Aluguel ou financiamento do imóvel (R$ 1.200,00).</v>
      </c>
      <c r="G20" s="36" t="str">
        <f>IF(C20="Sem movimentação","Preencha as receitas e despesas deste mês na aba Categorias para receber a análise. Em meses futuros, as fixas já se repetem sozinhas.",IF(C20="Déficit",IF(Resumo!C25=0,"Confira se a renda deste mês foi lançada. Se não houver renda, use a reserva de emergência (se tiver), adie gastos não essenciais e renegocie vencimentos de contas.",_xlfn._LONGTEXT("Para fechar o mês: 1) pague e renegocie primeiro o que gera juros (rotativo do cartão, cheque especial, empréstimos); 2) corte ou adie gastos variáveis (lazer, compras, delivery); 3) revise despesas fixas e assinaturas; 4) evite novas parcelas até recuper","ar o equilíbrio.")),IF(C20="Atenção","Segure os gastos variáveis e evite novas parcelas. Procure manter a renda comprometida abaixo de "&amp;FIXED(Limite*100,0)&amp;"%, formando uma folga para imprevistos, e priorize quitar dívidas com juros.",IF(E20&gt;=0.6,"Boa situação. Direcione parte da sobra para a reserva de emergência (meta usual: de 3 a 6 meses de despesas) e para antecipar dívidas com juros, se houver.","Ótima folga. Aplique a sobra: primeiro a reserva de emergência, depois objetivos de médio e longo prazo (educação, imóvel, aposentadoria). Compare custos e rendimentos antes de investir."))))&amp;IF(AND(OR(C20="Déficit",C20="Atenção"),INDEX(Categorias!$C$44:$N$44,1,11)&gt;0)," A linha '"&amp;Categorias!$B$44&amp;"' soma R$ "&amp;FIXED(INDEX(Categorias!$C$44:$N$44,1,11),2)&amp;" neste mês: evite o rotativo e não use o limite do cartão para cobrir o déficit.","")</f>
        <v>Ótima folga. Aplique a sobra: primeiro a reserva de emergência, depois objetivos de médio e longo prazo (educação, imóvel, aposentadoria). Compare custos e rendimentos antes de investir.</v>
      </c>
      <c r="H20" s="37" t="str">
        <f t="shared" si="0"/>
        <v>Dica: dê um destino a cada real que sobra, com meta, valor e data (viagem, curso, entrada de um bem).</v>
      </c>
      <c r="J20" s="38">
        <f>MAX(INDEX(Categorias!$C$28:$N$41,0,11),INDEX(Categorias!$C$44:$N$55,0,11))</f>
        <v>1200</v>
      </c>
      <c r="K20" s="38" t="str">
        <f>IF(J20&lt;=0,"",IF(MAX(INDEX(Categorias!$C$28:$N$41,0,11))&gt;=J20,IF(INDEX(Categorias!$B$28:$B$41,MATCH(J20,INDEX(Categorias!$C$28:$N$41,0,11),0))="","(sem nome)",INDEX(Categorias!$B$28:$B$41,MATCH(J20,INDEX(Categorias!$C$28:$N$41,0,11),0))),IF(INDEX(Categorias!$B$44:$B$55,MATCH(J20,INDEX(Categorias!$C$44:$N$55,0,11),0))="","(sem nome)",INDEX(Categorias!$B$44:$B$55,MATCH(J20,INDEX(Categorias!$C$44:$N$55,0,11),0)))))</f>
        <v>Aluguel ou financiamento do imóvel</v>
      </c>
    </row>
    <row r="21" spans="2:11" ht="117.75" customHeight="1" x14ac:dyDescent="0.25">
      <c r="B21" s="32" t="s">
        <v>47</v>
      </c>
      <c r="C21" s="33" t="str">
        <f>Resumo!I26</f>
        <v>Equilibrado</v>
      </c>
      <c r="D21" s="34">
        <f>Resumo!G26</f>
        <v>5755</v>
      </c>
      <c r="E21" s="35">
        <f>Resumo!H26</f>
        <v>0.17785714285714285</v>
      </c>
      <c r="F21" s="36" t="str">
        <f>IF(C21="Sem movimentação","Nenhum lançamento neste mês.",IF(C21="Déficit",IF(Resumo!C26=0,"Há despesas de R$ "&amp;FIXED(Resumo!F26,2)&amp;", mas nenhuma receita lançada: déficit de R$ "&amp;FIXED(-D21,2)&amp;".","Déficit de R$ "&amp;FIXED(-D21,2)&amp;": as despesas (R$ "&amp;FIXED(Resumo!F26,2)&amp;") superam a renda (R$ "&amp;FIXED(Resumo!C26,2)&amp;") e comprometem "&amp;FIXED(E21*100,0)&amp;"% dela."),IF(C21="Atenção","Renda comprometida em "&amp;FIXED(E21*100,0)&amp;"% (R$ "&amp;FIXED(Resumo!F26,2)&amp;" de R$ "&amp;FIXED(Resumo!C26,2)&amp;"): sobra apenas R$ "&amp;FIXED(D21,2)&amp;".","Mês equilibrado: "&amp;FIXED(E21*100,0)&amp;"% da renda comprometida e sobra de R$ "&amp;FIXED(D21,2)&amp;".")))&amp;IF(AND(C21&lt;&gt;"Sem movimentação",J21&gt;0)," Maior despesa do mês: "&amp;K21&amp;" (R$ "&amp;FIXED(J21,2)&amp;").","")</f>
        <v>Mês equilibrado: 18% da renda comprometida e sobra de R$ 5.755,00. Maior despesa do mês: Aluguel ou financiamento do imóvel (R$ 1.200,00).</v>
      </c>
      <c r="G21" s="36" t="str">
        <f>IF(C21="Sem movimentação","Preencha as receitas e despesas deste mês na aba Categorias para receber a análise. Em meses futuros, as fixas já se repetem sozinhas.",IF(C21="Déficit",IF(Resumo!C26=0,"Confira se a renda deste mês foi lançada. Se não houver renda, use a reserva de emergência (se tiver), adie gastos não essenciais e renegocie vencimentos de contas.",_xlfn._LONGTEXT("Para fechar o mês: 1) pague e renegocie primeiro o que gera juros (rotativo do cartão, cheque especial, empréstimos); 2) corte ou adie gastos variáveis (lazer, compras, delivery); 3) revise despesas fixas e assinaturas; 4) evite novas parcelas até recuper","ar o equilíbrio.")),IF(C21="Atenção","Segure os gastos variáveis e evite novas parcelas. Procure manter a renda comprometida abaixo de "&amp;FIXED(Limite*100,0)&amp;"%, formando uma folga para imprevistos, e priorize quitar dívidas com juros.",IF(E21&gt;=0.6,"Boa situação. Direcione parte da sobra para a reserva de emergência (meta usual: de 3 a 6 meses de despesas) e para antecipar dívidas com juros, se houver.","Ótima folga. Aplique a sobra: primeiro a reserva de emergência, depois objetivos de médio e longo prazo (educação, imóvel, aposentadoria). Compare custos e rendimentos antes de investir."))))&amp;IF(AND(OR(C21="Déficit",C21="Atenção"),INDEX(Categorias!$C$44:$N$44,1,12)&gt;0)," A linha '"&amp;Categorias!$B$44&amp;"' soma R$ "&amp;FIXED(INDEX(Categorias!$C$44:$N$44,1,12),2)&amp;" neste mês: evite o rotativo e não use o limite do cartão para cobrir o déficit.","")</f>
        <v>Ótima folga. Aplique a sobra: primeiro a reserva de emergência, depois objetivos de médio e longo prazo (educação, imóvel, aposentadoria). Compare custos e rendimentos antes de investir.</v>
      </c>
      <c r="H21" s="37" t="str">
        <f t="shared" si="0"/>
        <v>Dica: dê um destino a cada real que sobra, com meta, valor e data (viagem, curso, entrada de um bem).</v>
      </c>
      <c r="J21" s="38">
        <f>MAX(INDEX(Categorias!$C$28:$N$41,0,12),INDEX(Categorias!$C$44:$N$55,0,12))</f>
        <v>1200</v>
      </c>
      <c r="K21" s="38" t="str">
        <f>IF(J21&lt;=0,"",IF(MAX(INDEX(Categorias!$C$28:$N$41,0,12))&gt;=J21,IF(INDEX(Categorias!$B$28:$B$41,MATCH(J21,INDEX(Categorias!$C$28:$N$41,0,12),0))="","(sem nome)",INDEX(Categorias!$B$28:$B$41,MATCH(J21,INDEX(Categorias!$C$28:$N$41,0,12),0))),IF(INDEX(Categorias!$B$44:$B$55,MATCH(J21,INDEX(Categorias!$C$44:$N$55,0,12),0))="","(sem nome)",INDEX(Categorias!$B$44:$B$55,MATCH(J21,INDEX(Categorias!$C$44:$N$55,0,12),0)))))</f>
        <v>Aluguel ou financiamento do imóvel</v>
      </c>
    </row>
    <row r="23" spans="2:11" x14ac:dyDescent="0.25">
      <c r="B23" s="45" t="s">
        <v>136</v>
      </c>
      <c r="C23" s="45"/>
      <c r="D23" s="45"/>
      <c r="E23" s="45"/>
      <c r="F23" s="45"/>
      <c r="G23" s="45"/>
      <c r="H23" s="45"/>
    </row>
    <row r="24" spans="2:11" x14ac:dyDescent="0.25">
      <c r="B24" s="60" t="s">
        <v>137</v>
      </c>
      <c r="C24" s="60"/>
      <c r="D24" s="60"/>
      <c r="E24" s="60"/>
      <c r="F24" s="60"/>
      <c r="G24" s="60"/>
      <c r="H24" s="60"/>
    </row>
    <row r="25" spans="2:11" ht="30" customHeight="1" x14ac:dyDescent="0.25">
      <c r="B25" s="44" t="s">
        <v>138</v>
      </c>
      <c r="C25" s="44"/>
      <c r="D25" s="44"/>
      <c r="E25" s="44"/>
      <c r="F25" s="44"/>
      <c r="G25" s="44"/>
      <c r="H25" s="44"/>
    </row>
    <row r="26" spans="2:11" ht="19.5" customHeight="1" x14ac:dyDescent="0.25">
      <c r="B26" s="44" t="s">
        <v>139</v>
      </c>
      <c r="C26" s="44"/>
      <c r="D26" s="44"/>
      <c r="E26" s="44"/>
      <c r="F26" s="44"/>
      <c r="G26" s="44"/>
      <c r="H26" s="44"/>
    </row>
    <row r="27" spans="2:11" ht="19.5" customHeight="1" x14ac:dyDescent="0.25">
      <c r="B27" s="44" t="s">
        <v>140</v>
      </c>
      <c r="C27" s="44"/>
      <c r="D27" s="44"/>
      <c r="E27" s="44"/>
      <c r="F27" s="44"/>
      <c r="G27" s="44"/>
      <c r="H27" s="44"/>
    </row>
    <row r="28" spans="2:11" ht="19.5" customHeight="1" x14ac:dyDescent="0.25">
      <c r="B28" s="44" t="s">
        <v>141</v>
      </c>
      <c r="C28" s="44"/>
      <c r="D28" s="44"/>
      <c r="E28" s="44"/>
      <c r="F28" s="44"/>
      <c r="G28" s="44"/>
      <c r="H28" s="44"/>
    </row>
    <row r="29" spans="2:11" x14ac:dyDescent="0.25">
      <c r="B29" s="60" t="s">
        <v>142</v>
      </c>
      <c r="C29" s="60"/>
      <c r="D29" s="60"/>
      <c r="E29" s="60"/>
      <c r="F29" s="60"/>
      <c r="G29" s="60"/>
      <c r="H29" s="60"/>
    </row>
    <row r="30" spans="2:11" ht="30" customHeight="1" x14ac:dyDescent="0.25">
      <c r="B30" s="44" t="s">
        <v>143</v>
      </c>
      <c r="C30" s="44"/>
      <c r="D30" s="44"/>
      <c r="E30" s="44"/>
      <c r="F30" s="44"/>
      <c r="G30" s="44"/>
      <c r="H30" s="44"/>
    </row>
    <row r="31" spans="2:11" x14ac:dyDescent="0.25">
      <c r="B31" s="60" t="s">
        <v>144</v>
      </c>
      <c r="C31" s="60"/>
      <c r="D31" s="60"/>
      <c r="E31" s="60"/>
      <c r="F31" s="60"/>
      <c r="G31" s="60"/>
      <c r="H31" s="60"/>
    </row>
    <row r="32" spans="2:11" ht="30" customHeight="1" x14ac:dyDescent="0.25">
      <c r="B32" s="44" t="s">
        <v>145</v>
      </c>
      <c r="C32" s="44"/>
      <c r="D32" s="44"/>
      <c r="E32" s="44"/>
      <c r="F32" s="44"/>
      <c r="G32" s="44"/>
      <c r="H32" s="44"/>
    </row>
    <row r="33" spans="2:8" x14ac:dyDescent="0.25">
      <c r="B33" s="60" t="s">
        <v>146</v>
      </c>
      <c r="C33" s="60"/>
      <c r="D33" s="60"/>
      <c r="E33" s="60"/>
      <c r="F33" s="60"/>
      <c r="G33" s="60"/>
      <c r="H33" s="60"/>
    </row>
    <row r="34" spans="2:8" ht="30" customHeight="1" x14ac:dyDescent="0.25">
      <c r="B34" s="44" t="s">
        <v>147</v>
      </c>
      <c r="C34" s="44"/>
      <c r="D34" s="44"/>
      <c r="E34" s="44"/>
      <c r="F34" s="44"/>
      <c r="G34" s="44"/>
      <c r="H34" s="44"/>
    </row>
  </sheetData>
  <sheetProtection sheet="1"/>
  <mergeCells count="22">
    <mergeCell ref="B1:H1"/>
    <mergeCell ref="B2:H2"/>
    <mergeCell ref="B4:C4"/>
    <mergeCell ref="D4:H4"/>
    <mergeCell ref="B5:C5"/>
    <mergeCell ref="D5:H5"/>
    <mergeCell ref="B6:C6"/>
    <mergeCell ref="D6:H6"/>
    <mergeCell ref="B7:C7"/>
    <mergeCell ref="D7:H7"/>
    <mergeCell ref="B23:H23"/>
    <mergeCell ref="B24:H24"/>
    <mergeCell ref="B25:H25"/>
    <mergeCell ref="B26:H26"/>
    <mergeCell ref="B27:H27"/>
    <mergeCell ref="B28:H28"/>
    <mergeCell ref="B34:H34"/>
    <mergeCell ref="B29:H29"/>
    <mergeCell ref="B30:H30"/>
    <mergeCell ref="B31:H31"/>
    <mergeCell ref="B32:H32"/>
    <mergeCell ref="B33:H33"/>
  </mergeCells>
  <conditionalFormatting sqref="C10:C21">
    <cfRule type="expression" dxfId="5" priority="2">
      <formula>C10="Déficit"</formula>
    </cfRule>
    <cfRule type="expression" dxfId="4" priority="3">
      <formula>C10="Atenção"</formula>
    </cfRule>
    <cfRule type="expression" dxfId="3" priority="4">
      <formula>C10="Equilibrado"</formula>
    </cfRule>
    <cfRule type="expression" dxfId="2" priority="5">
      <formula>C10="Sem movimentação"</formula>
    </cfRule>
  </conditionalFormatting>
  <conditionalFormatting sqref="D10:D21">
    <cfRule type="cellIs" dxfId="1" priority="6" operator="lessThan">
      <formula>0</formula>
    </cfRule>
    <cfRule type="cellIs" dxfId="0" priority="7" operator="greaterThan">
      <formula>0</formula>
    </cfRule>
  </conditionalFormatting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Início</vt:lpstr>
      <vt:lpstr>Categorias</vt:lpstr>
      <vt:lpstr>Resumo</vt:lpstr>
      <vt:lpstr>Recomendações</vt:lpstr>
      <vt:lpstr>Ano</vt:lpstr>
      <vt:lpstr>Limite</vt:lpstr>
      <vt:lpstr>Categorias!Titulos_de_impressao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Controle Financeiro Pessoal – Acuratta</dc:title>
  <dc:subject/>
  <dc:creator>Acuratta Consultoria</dc:creator>
  <dc:description/>
  <cp:lastModifiedBy>Caio Atalaia</cp:lastModifiedBy>
  <cp:revision>1</cp:revision>
  <dcterms:created xsi:type="dcterms:W3CDTF">2026-10-18T04:32:12Z</dcterms:created>
  <dcterms:modified xsi:type="dcterms:W3CDTF">2026-10-18T16:46:34Z</dcterms:modified>
  <dc:language>en-US</dc:language>
</cp:coreProperties>
</file>